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FWS-FP001\Teams\Ops\Private\INVENTORY CONTROL\REPORTS\JET\"/>
    </mc:Choice>
  </mc:AlternateContent>
  <bookViews>
    <workbookView xWindow="720" yWindow="540" windowWidth="20700" windowHeight="11610" tabRatio="930" firstSheet="1" activeTab="1"/>
  </bookViews>
  <sheets>
    <sheet name="Options" sheetId="2" state="hidden" r:id="rId1"/>
    <sheet name="PICK LOG" sheetId="1088" r:id="rId2"/>
    <sheet name="F4K SIGN-IN" sheetId="1089" r:id="rId3"/>
    <sheet name="001042RA" sheetId="3" r:id="rId4"/>
    <sheet name="002051P" sheetId="2542" r:id="rId5"/>
    <sheet name="002052P" sheetId="2543" r:id="rId6"/>
    <sheet name="002098P" sheetId="2544" r:id="rId7"/>
    <sheet name="002127P" sheetId="2545" r:id="rId8"/>
    <sheet name="002218P" sheetId="2546" r:id="rId9"/>
    <sheet name="002341P" sheetId="2547" r:id="rId10"/>
    <sheet name="002491P" sheetId="2548" r:id="rId11"/>
    <sheet name="002719P" sheetId="2549" r:id="rId12"/>
    <sheet name="003405P" sheetId="2550" r:id="rId13"/>
    <sheet name="003511RY" sheetId="2551" r:id="rId14"/>
    <sheet name="003549RA" sheetId="2552" r:id="rId15"/>
    <sheet name="004052HSF" sheetId="2553" r:id="rId16"/>
    <sheet name="008146P" sheetId="2554" r:id="rId17"/>
    <sheet name="026030P" sheetId="2555" r:id="rId18"/>
    <sheet name="026056P5" sheetId="2556" r:id="rId19"/>
    <sheet name="026066RA1" sheetId="2557" r:id="rId20"/>
    <sheet name="026077P" sheetId="2558" r:id="rId21"/>
    <sheet name="026284P" sheetId="2559" r:id="rId22"/>
    <sheet name="026392P" sheetId="2560" r:id="rId23"/>
    <sheet name="026508P" sheetId="2561" r:id="rId24"/>
    <sheet name="026536RA" sheetId="2562" state="hidden" r:id="rId25"/>
    <sheet name="026575P" sheetId="2563" r:id="rId26"/>
    <sheet name="026637P" sheetId="2564" r:id="rId27"/>
    <sheet name="001042RA (2)" sheetId="4" state="hidden" r:id="rId28"/>
    <sheet name="002051P (2)" sheetId="2565" state="hidden" r:id="rId29"/>
    <sheet name="002052P (2)" sheetId="2566" state="hidden" r:id="rId30"/>
    <sheet name="002098P (2)" sheetId="2567" state="hidden" r:id="rId31"/>
    <sheet name="002127P (2)" sheetId="2568" state="hidden" r:id="rId32"/>
    <sheet name="002218P (2)" sheetId="2569" state="hidden" r:id="rId33"/>
    <sheet name="002341P (2)" sheetId="2570" state="hidden" r:id="rId34"/>
    <sheet name="002491P (2)" sheetId="2571" state="hidden" r:id="rId35"/>
    <sheet name="002719P (2)" sheetId="2572" state="hidden" r:id="rId36"/>
    <sheet name="003405P (2)" sheetId="2573" state="hidden" r:id="rId37"/>
    <sheet name="003511RY (2)" sheetId="2574" r:id="rId38"/>
    <sheet name="003549RA (2)" sheetId="2575" state="hidden" r:id="rId39"/>
    <sheet name="004052HSF (2)" sheetId="2576" state="hidden" r:id="rId40"/>
    <sheet name="008146P (2)" sheetId="2577" state="hidden" r:id="rId41"/>
    <sheet name="026030P (2)" sheetId="2578" state="hidden" r:id="rId42"/>
    <sheet name="026056P5 (2)" sheetId="2579" state="hidden" r:id="rId43"/>
    <sheet name="026066RA1 (2)" sheetId="2580" state="hidden" r:id="rId44"/>
    <sheet name="026077P (2)" sheetId="2581" state="hidden" r:id="rId45"/>
    <sheet name="026284P (2)" sheetId="2582" state="hidden" r:id="rId46"/>
    <sheet name="026392P (2)" sheetId="2583" state="hidden" r:id="rId47"/>
    <sheet name="026508P (2)" sheetId="2584" state="hidden" r:id="rId48"/>
    <sheet name="026536RA (2)" sheetId="2585" state="hidden" r:id="rId49"/>
    <sheet name="026575P (2)" sheetId="2586" state="hidden" r:id="rId50"/>
    <sheet name="026637P (2)" sheetId="2587" state="hidden" r:id="rId51"/>
    <sheet name="001042RA (3)" sheetId="5" state="hidden" r:id="rId52"/>
    <sheet name="002051P (3)" sheetId="2588" state="hidden" r:id="rId53"/>
    <sheet name="002052P (3)" sheetId="2589" r:id="rId54"/>
    <sheet name="002098P (3)" sheetId="2590" r:id="rId55"/>
    <sheet name="002127P (3)" sheetId="2591" state="hidden" r:id="rId56"/>
    <sheet name="002218P (3)" sheetId="2592" r:id="rId57"/>
    <sheet name="002341P (3)" sheetId="2593" r:id="rId58"/>
    <sheet name="002491P (3)" sheetId="2594" r:id="rId59"/>
    <sheet name="002719P (3)" sheetId="2595" state="hidden" r:id="rId60"/>
    <sheet name="003405P (3)" sheetId="2596" r:id="rId61"/>
    <sheet name="003511RY (3)" sheetId="2597" state="hidden" r:id="rId62"/>
    <sheet name="003549RA (3)" sheetId="2598" r:id="rId63"/>
    <sheet name="004052HSF (3)" sheetId="2599" state="hidden" r:id="rId64"/>
    <sheet name="008146P (3)" sheetId="2600" state="hidden" r:id="rId65"/>
    <sheet name="026030P (3)" sheetId="2601" state="hidden" r:id="rId66"/>
    <sheet name="026056P5 (3)" sheetId="2602" state="hidden" r:id="rId67"/>
    <sheet name="026066RA1 (3)" sheetId="2603" r:id="rId68"/>
    <sheet name="026077P (3)" sheetId="2604" r:id="rId69"/>
    <sheet name="026284P (3)" sheetId="2605" state="hidden" r:id="rId70"/>
    <sheet name="026392P (3)" sheetId="2606" state="hidden" r:id="rId71"/>
    <sheet name="026508P (3)" sheetId="2607" state="hidden" r:id="rId72"/>
    <sheet name="026536RA (3)" sheetId="2608" r:id="rId73"/>
    <sheet name="026575P (3)" sheetId="2609" state="hidden" r:id="rId74"/>
    <sheet name="026637P (3)" sheetId="2610" r:id="rId75"/>
    <sheet name="001042RA (4)" sheetId="6" state="hidden" r:id="rId76"/>
    <sheet name="002051P (4)" sheetId="2611" state="hidden" r:id="rId77"/>
    <sheet name="002052P (4)" sheetId="2612" state="hidden" r:id="rId78"/>
    <sheet name="002098P (4)" sheetId="2613" state="hidden" r:id="rId79"/>
    <sheet name="002127P (4)" sheetId="2614" state="hidden" r:id="rId80"/>
    <sheet name="002218P (4)" sheetId="2615" state="hidden" r:id="rId81"/>
    <sheet name="002341P (4)" sheetId="2616" state="hidden" r:id="rId82"/>
    <sheet name="002491P (4)" sheetId="2617" state="hidden" r:id="rId83"/>
    <sheet name="002719P (4)" sheetId="2618" state="hidden" r:id="rId84"/>
    <sheet name="003405P (4)" sheetId="2619" state="hidden" r:id="rId85"/>
    <sheet name="003511RY (4)" sheetId="2620" state="hidden" r:id="rId86"/>
    <sheet name="003549RA (4)" sheetId="2621" state="hidden" r:id="rId87"/>
    <sheet name="004052HSF (4)" sheetId="2622" state="hidden" r:id="rId88"/>
    <sheet name="008146P (4)" sheetId="2623" state="hidden" r:id="rId89"/>
    <sheet name="026030P (4)" sheetId="2624" state="hidden" r:id="rId90"/>
    <sheet name="026056P5 (4)" sheetId="2625" state="hidden" r:id="rId91"/>
    <sheet name="026066RA1 (4)" sheetId="2626" state="hidden" r:id="rId92"/>
    <sheet name="026077P (4)" sheetId="2627" state="hidden" r:id="rId93"/>
    <sheet name="026284P (4)" sheetId="2628" state="hidden" r:id="rId94"/>
    <sheet name="026392P (4)" sheetId="2629" state="hidden" r:id="rId95"/>
    <sheet name="026508P (4)" sheetId="2630" state="hidden" r:id="rId96"/>
    <sheet name="026536RA (4)" sheetId="2631" state="hidden" r:id="rId97"/>
    <sheet name="026575P (4)" sheetId="2632" state="hidden" r:id="rId98"/>
    <sheet name="026637P (4)" sheetId="2633" state="hidden" r:id="rId99"/>
    <sheet name="Sheet209" sheetId="2530" state="veryHidden" r:id="rId100"/>
    <sheet name="Sheet210" sheetId="2531" state="veryHidden" r:id="rId101"/>
    <sheet name="Sheet211" sheetId="2532" state="veryHidden" r:id="rId102"/>
    <sheet name="Sheet212" sheetId="2533" state="veryHidden" r:id="rId103"/>
    <sheet name="Sheet213" sheetId="2534" state="veryHidden" r:id="rId104"/>
    <sheet name="Sheet214" sheetId="2535" state="veryHidden" r:id="rId105"/>
    <sheet name="Sheet215" sheetId="2536" state="veryHidden" r:id="rId106"/>
    <sheet name="Sheet216" sheetId="2537" state="veryHidden" r:id="rId107"/>
    <sheet name="Sheet217" sheetId="2538" state="veryHidden" r:id="rId108"/>
    <sheet name="Sheet218" sheetId="2539" state="veryHidden" r:id="rId109"/>
    <sheet name="Sheet219" sheetId="2540" state="veryHidden" r:id="rId110"/>
    <sheet name="Sheet220" sheetId="2541" state="veryHidden" r:id="rId111"/>
    <sheet name="Sheet313" sheetId="2634" state="veryHidden" r:id="rId112"/>
    <sheet name="Sheet314" sheetId="2635" state="veryHidden" r:id="rId113"/>
    <sheet name="Sheet315" sheetId="2636" state="veryHidden" r:id="rId114"/>
    <sheet name="Sheet316" sheetId="2637" state="veryHidden" r:id="rId115"/>
    <sheet name="Sheet317" sheetId="2638" state="veryHidden" r:id="rId116"/>
    <sheet name="Sheet318" sheetId="2639" state="veryHidden" r:id="rId117"/>
    <sheet name="Sheet319" sheetId="2640" state="veryHidden" r:id="rId118"/>
    <sheet name="Sheet320" sheetId="2641" state="veryHidden" r:id="rId119"/>
    <sheet name="Sheet321" sheetId="2642" state="veryHidden" r:id="rId120"/>
    <sheet name="Sheet322" sheetId="2643" state="veryHidden" r:id="rId121"/>
    <sheet name="Sheet323" sheetId="2644" state="veryHidden" r:id="rId122"/>
    <sheet name="Sheet324" sheetId="2645" state="veryHidden" r:id="rId123"/>
    <sheet name="Sheet325" sheetId="2646" state="veryHidden" r:id="rId124"/>
    <sheet name="Sheet326" sheetId="2647" state="veryHidden" r:id="rId125"/>
    <sheet name="Sheet327" sheetId="2648" state="veryHidden" r:id="rId126"/>
    <sheet name="Sheet328" sheetId="2649" state="veryHidden" r:id="rId127"/>
    <sheet name="Sheet329" sheetId="2650" state="veryHidden" r:id="rId128"/>
    <sheet name="Sheet330" sheetId="2651" state="veryHidden" r:id="rId129"/>
    <sheet name="Sheet331" sheetId="2652" state="veryHidden" r:id="rId130"/>
    <sheet name="Sheet332" sheetId="2653" state="veryHidden" r:id="rId131"/>
    <sheet name="Sheet333" sheetId="2654" state="veryHidden" r:id="rId132"/>
    <sheet name="Sheet334" sheetId="2655" state="veryHidden" r:id="rId133"/>
    <sheet name="Sheet335" sheetId="2656" state="veryHidden" r:id="rId134"/>
    <sheet name="Sheet336" sheetId="2657" state="veryHidden" r:id="rId135"/>
    <sheet name="Sheet337" sheetId="2658" state="veryHidden" r:id="rId136"/>
    <sheet name="Sheet338" sheetId="2659" state="veryHidden" r:id="rId137"/>
    <sheet name="Sheet339" sheetId="2660" state="veryHidden" r:id="rId138"/>
    <sheet name="Sheet340" sheetId="2661" state="veryHidden" r:id="rId139"/>
    <sheet name="Sheet341" sheetId="2662" state="veryHidden" r:id="rId140"/>
    <sheet name="Sheet342" sheetId="2663" state="veryHidden" r:id="rId141"/>
    <sheet name="Sheet343" sheetId="2664" state="veryHidden" r:id="rId142"/>
    <sheet name="Sheet344" sheetId="2665" state="veryHidden" r:id="rId143"/>
    <sheet name="Sheet345" sheetId="2666" state="veryHidden" r:id="rId144"/>
    <sheet name="Sheet346" sheetId="2667" state="veryHidden" r:id="rId145"/>
    <sheet name="Sheet347" sheetId="2668" state="veryHidden" r:id="rId146"/>
    <sheet name="Sheet348" sheetId="2669" state="veryHidden" r:id="rId147"/>
    <sheet name="Sheet349" sheetId="2670" state="veryHidden" r:id="rId148"/>
    <sheet name="Sheet350" sheetId="2671" state="veryHidden" r:id="rId149"/>
    <sheet name="Sheet351" sheetId="2672" state="veryHidden" r:id="rId150"/>
    <sheet name="Sheet352" sheetId="2673" state="veryHidden" r:id="rId151"/>
    <sheet name="Sheet353" sheetId="2674" state="veryHidden" r:id="rId152"/>
    <sheet name="Sheet354" sheetId="2675" state="veryHidden" r:id="rId153"/>
    <sheet name="Sheet355" sheetId="2676" state="veryHidden" r:id="rId154"/>
    <sheet name="Sheet356" sheetId="2677" state="veryHidden" r:id="rId155"/>
    <sheet name="Sheet357" sheetId="2678" state="veryHidden" r:id="rId156"/>
    <sheet name="Sheet358" sheetId="2679" state="veryHidden" r:id="rId157"/>
    <sheet name="Sheet359" sheetId="2680" state="veryHidden" r:id="rId158"/>
    <sheet name="Sheet360" sheetId="2681" state="veryHidden" r:id="rId159"/>
    <sheet name="Sheet361" sheetId="2682" state="veryHidden" r:id="rId160"/>
    <sheet name="Sheet362" sheetId="2683" state="veryHidden" r:id="rId161"/>
    <sheet name="Sheet363" sheetId="2684" state="veryHidden" r:id="rId162"/>
    <sheet name="Sheet364" sheetId="2685" state="veryHidden" r:id="rId163"/>
    <sheet name="Sheet365" sheetId="2686" state="veryHidden" r:id="rId164"/>
    <sheet name="Sheet366" sheetId="2687" state="veryHidden" r:id="rId165"/>
    <sheet name="Sheet367" sheetId="2688" state="veryHidden" r:id="rId166"/>
    <sheet name="Sheet368" sheetId="2689" state="veryHidden" r:id="rId167"/>
    <sheet name="Sheet369" sheetId="2690" state="veryHidden" r:id="rId168"/>
    <sheet name="Sheet370" sheetId="2691" state="veryHidden" r:id="rId169"/>
    <sheet name="Sheet371" sheetId="2692" state="veryHidden" r:id="rId170"/>
    <sheet name="Sheet372" sheetId="2693" state="veryHidden" r:id="rId171"/>
    <sheet name="Sheet373" sheetId="2694" state="veryHidden" r:id="rId172"/>
    <sheet name="Sheet374" sheetId="2695" state="veryHidden" r:id="rId173"/>
    <sheet name="Sheet375" sheetId="2696" state="veryHidden" r:id="rId174"/>
    <sheet name="Sheet376" sheetId="2697" state="veryHidden" r:id="rId175"/>
    <sheet name="Sheet377" sheetId="2698" state="veryHidden" r:id="rId176"/>
    <sheet name="Sheet378" sheetId="2699" state="veryHidden" r:id="rId177"/>
    <sheet name="Sheet379" sheetId="2700" state="veryHidden" r:id="rId178"/>
    <sheet name="Sheet380" sheetId="2701" state="veryHidden" r:id="rId179"/>
    <sheet name="Sheet381" sheetId="2702" state="veryHidden" r:id="rId180"/>
    <sheet name="Sheet382" sheetId="2703" state="veryHidden" r:id="rId181"/>
    <sheet name="Sheet383" sheetId="2704" state="veryHidden" r:id="rId182"/>
    <sheet name="Sheet384" sheetId="2705" state="veryHidden" r:id="rId183"/>
    <sheet name="Sheet385" sheetId="2706" state="veryHidden" r:id="rId184"/>
    <sheet name="Sheet386" sheetId="2707" state="veryHidden" r:id="rId185"/>
    <sheet name="Sheet387" sheetId="2708" state="veryHidden" r:id="rId186"/>
    <sheet name="Sheet388" sheetId="2709" state="veryHidden" r:id="rId187"/>
    <sheet name="Sheet389" sheetId="2710" state="veryHidden" r:id="rId188"/>
    <sheet name="Sheet390" sheetId="2711" state="veryHidden" r:id="rId189"/>
    <sheet name="Sheet391" sheetId="2712" state="veryHidden" r:id="rId190"/>
    <sheet name="Sheet392" sheetId="2713" state="veryHidden" r:id="rId191"/>
    <sheet name="Sheet393" sheetId="2714" state="veryHidden" r:id="rId192"/>
    <sheet name="Sheet394" sheetId="2715" state="veryHidden" r:id="rId193"/>
    <sheet name="Sheet395" sheetId="2716" state="veryHidden" r:id="rId194"/>
    <sheet name="Sheet396" sheetId="2717" state="veryHidden" r:id="rId195"/>
    <sheet name="Sheet397" sheetId="2718" state="veryHidden" r:id="rId196"/>
    <sheet name="Sheet398" sheetId="2719" state="veryHidden" r:id="rId197"/>
    <sheet name="Sheet399" sheetId="2720" state="veryHidden" r:id="rId198"/>
    <sheet name="Sheet400" sheetId="2721" state="veryHidden" r:id="rId199"/>
    <sheet name="Sheet401" sheetId="2722" state="veryHidden" r:id="rId200"/>
    <sheet name="Sheet402" sheetId="2723" state="veryHidden" r:id="rId201"/>
    <sheet name="Sheet403" sheetId="2724" state="veryHidden" r:id="rId202"/>
    <sheet name="Sheet404" sheetId="2725" state="veryHidden" r:id="rId203"/>
    <sheet name="Sheet405" sheetId="2726" state="veryHidden" r:id="rId204"/>
    <sheet name="Sheet406" sheetId="2727" state="veryHidden" r:id="rId205"/>
    <sheet name="Sheet407" sheetId="2728" state="veryHidden" r:id="rId206"/>
    <sheet name="Sheet408" sheetId="2729" state="veryHidden" r:id="rId207"/>
    <sheet name="Sheet409" sheetId="2730" state="veryHidden" r:id="rId208"/>
    <sheet name="Sheet410" sheetId="2731" state="veryHidden" r:id="rId209"/>
  </sheets>
  <definedNames>
    <definedName name="_xlnm.Print_Area" localSheetId="3">'001042RA'!$A$1:$Z$39</definedName>
    <definedName name="_xlnm.Print_Area" localSheetId="27">'001042RA (2)'!$A$1:$Z$26</definedName>
    <definedName name="_xlnm.Print_Area" localSheetId="51">'001042RA (3)'!$A$1:$Z$26</definedName>
    <definedName name="_xlnm.Print_Area" localSheetId="75">'001042RA (4)'!$A$1:$Z$38</definedName>
    <definedName name="_xlnm.Print_Area" localSheetId="4">'002051P'!$A$1:$Z$38</definedName>
    <definedName name="_xlnm.Print_Area" localSheetId="28">'002051P (2)'!$A$1:$Z$26</definedName>
    <definedName name="_xlnm.Print_Area" localSheetId="52">'002051P (3)'!$A$1:$Z$26</definedName>
    <definedName name="_xlnm.Print_Area" localSheetId="76">'002051P (4)'!$A$1:$Z$38</definedName>
    <definedName name="_xlnm.Print_Area" localSheetId="5">'002052P'!$A$1:$Z$45</definedName>
    <definedName name="_xlnm.Print_Area" localSheetId="29">'002052P (2)'!$A$1:$Z$28</definedName>
    <definedName name="_xlnm.Print_Area" localSheetId="53">'002052P (3)'!$A$1:$Z$28</definedName>
    <definedName name="_xlnm.Print_Area" localSheetId="77">'002052P (4)'!$A$1:$Z$40</definedName>
    <definedName name="_xlnm.Print_Area" localSheetId="6">'002098P'!$A$1:$Z$45</definedName>
    <definedName name="_xlnm.Print_Area" localSheetId="30">'002098P (2)'!$A$1:$Z$27</definedName>
    <definedName name="_xlnm.Print_Area" localSheetId="54">'002098P (3)'!$A$1:$Z$27</definedName>
    <definedName name="_xlnm.Print_Area" localSheetId="78">'002098P (4)'!$A$1:$Z$39</definedName>
    <definedName name="_xlnm.Print_Area" localSheetId="7">'002127P'!$A$1:$Z$52</definedName>
    <definedName name="_xlnm.Print_Area" localSheetId="31">'002127P (2)'!$A$1:$Z$30</definedName>
    <definedName name="_xlnm.Print_Area" localSheetId="55">'002127P (3)'!$A$1:$Z$30</definedName>
    <definedName name="_xlnm.Print_Area" localSheetId="79">'002127P (4)'!$A$1:$Z$44</definedName>
    <definedName name="_xlnm.Print_Area" localSheetId="8">'002218P'!$A$1:$Z$50</definedName>
    <definedName name="_xlnm.Print_Area" localSheetId="32">'002218P (2)'!$A$1:$Z$27</definedName>
    <definedName name="_xlnm.Print_Area" localSheetId="56">'002218P (3)'!$A$1:$Z$33</definedName>
    <definedName name="_xlnm.Print_Area" localSheetId="80">'002218P (4)'!$A$1:$Z$40</definedName>
    <definedName name="_xlnm.Print_Area" localSheetId="9">'002341P'!$A$1:$Z$58</definedName>
    <definedName name="_xlnm.Print_Area" localSheetId="33">'002341P (2)'!$A$1:$Z$32</definedName>
    <definedName name="_xlnm.Print_Area" localSheetId="57">'002341P (3)'!$A$1:$Z$35</definedName>
    <definedName name="_xlnm.Print_Area" localSheetId="81">'002341P (4)'!$A$1:$Z$48</definedName>
    <definedName name="_xlnm.Print_Area" localSheetId="10">'002491P'!$A$1:$Z$42</definedName>
    <definedName name="_xlnm.Print_Area" localSheetId="34">'002491P (2)'!$A$1:$Z$27</definedName>
    <definedName name="_xlnm.Print_Area" localSheetId="58">'002491P (3)'!$A$1:$Z$34</definedName>
    <definedName name="_xlnm.Print_Area" localSheetId="82">'002491P (4)'!$A$1:$Z$39</definedName>
    <definedName name="_xlnm.Print_Area" localSheetId="11">'002719P'!$A$1:$Z$45</definedName>
    <definedName name="_xlnm.Print_Area" localSheetId="35">'002719P (2)'!$A$1:$Z$27</definedName>
    <definedName name="_xlnm.Print_Area" localSheetId="59">'002719P (3)'!$A$1:$Z$27</definedName>
    <definedName name="_xlnm.Print_Area" localSheetId="83">'002719P (4)'!$A$1:$Z$39</definedName>
    <definedName name="_xlnm.Print_Area" localSheetId="12">'003405P'!$A$1:$Z$47</definedName>
    <definedName name="_xlnm.Print_Area" localSheetId="36">'003405P (2)'!$A$1:$Z$30</definedName>
    <definedName name="_xlnm.Print_Area" localSheetId="60">'003405P (3)'!$A$1:$Z$31</definedName>
    <definedName name="_xlnm.Print_Area" localSheetId="84">'003405P (4)'!$A$1:$Z$43</definedName>
    <definedName name="_xlnm.Print_Area" localSheetId="13">'003511RY'!$A$1:$Z$43</definedName>
    <definedName name="_xlnm.Print_Area" localSheetId="37">'003511RY (2)'!$A$1:$Z$27</definedName>
    <definedName name="_xlnm.Print_Area" localSheetId="61">'003511RY (3)'!$A$1:$Z$27</definedName>
    <definedName name="_xlnm.Print_Area" localSheetId="85">'003511RY (4)'!$A$1:$Z$39</definedName>
    <definedName name="_xlnm.Print_Area" localSheetId="14">'003549RA'!$A$1:$Z$60</definedName>
    <definedName name="_xlnm.Print_Area" localSheetId="38">'003549RA (2)'!$A$1:$Z$37</definedName>
    <definedName name="_xlnm.Print_Area" localSheetId="62">'003549RA (3)'!$A$1:$Z$44</definedName>
    <definedName name="_xlnm.Print_Area" localSheetId="86">'003549RA (4)'!$A$1:$Z$55</definedName>
    <definedName name="_xlnm.Print_Area" localSheetId="15">'004052HSF'!$A$1:$Z$42</definedName>
    <definedName name="_xlnm.Print_Area" localSheetId="39">'004052HSF (2)'!$A$1:$Z$27</definedName>
    <definedName name="_xlnm.Print_Area" localSheetId="63">'004052HSF (3)'!$A$1:$Z$27</definedName>
    <definedName name="_xlnm.Print_Area" localSheetId="87">'004052HSF (4)'!$A$1:$Z$39</definedName>
    <definedName name="_xlnm.Print_Area" localSheetId="16">'008146P'!$A$1:$Z$46</definedName>
    <definedName name="_xlnm.Print_Area" localSheetId="40">'008146P (2)'!$A$1:$Z$27</definedName>
    <definedName name="_xlnm.Print_Area" localSheetId="64">'008146P (3)'!$A$1:$Z$27</definedName>
    <definedName name="_xlnm.Print_Area" localSheetId="88">'008146P (4)'!$A$1:$Z$39</definedName>
    <definedName name="_xlnm.Print_Area" localSheetId="17">'026030P'!$A$1:$Z$40</definedName>
    <definedName name="_xlnm.Print_Area" localSheetId="41">'026030P (2)'!$A$1:$Z$26</definedName>
    <definedName name="_xlnm.Print_Area" localSheetId="65">'026030P (3)'!$A$1:$Z$26</definedName>
    <definedName name="_xlnm.Print_Area" localSheetId="89">'026030P (4)'!$A$1:$Z$38</definedName>
    <definedName name="_xlnm.Print_Area" localSheetId="18">'026056P5'!$A$1:$Z$46</definedName>
    <definedName name="_xlnm.Print_Area" localSheetId="42">'026056P5 (2)'!$A$1:$Z$26</definedName>
    <definedName name="_xlnm.Print_Area" localSheetId="66">'026056P5 (3)'!$A$1:$Z$26</definedName>
    <definedName name="_xlnm.Print_Area" localSheetId="90">'026056P5 (4)'!$A$1:$Z$38</definedName>
    <definedName name="_xlnm.Print_Area" localSheetId="19">'026066RA1'!$A$1:$Z$42</definedName>
    <definedName name="_xlnm.Print_Area" localSheetId="43">'026066RA1 (2)'!$A$1:$Z$28</definedName>
    <definedName name="_xlnm.Print_Area" localSheetId="67">'026066RA1 (3)'!$A$1:$Z$29</definedName>
    <definedName name="_xlnm.Print_Area" localSheetId="91">'026066RA1 (4)'!$A$1:$Z$40</definedName>
    <definedName name="_xlnm.Print_Area" localSheetId="20">'026077P'!$A$1:$Z$43</definedName>
    <definedName name="_xlnm.Print_Area" localSheetId="44">'026077P (2)'!$A$1:$Z$28</definedName>
    <definedName name="_xlnm.Print_Area" localSheetId="68">'026077P (3)'!$A$1:$Z$31</definedName>
    <definedName name="_xlnm.Print_Area" localSheetId="92">'026077P (4)'!$A$1:$Z$41</definedName>
    <definedName name="_xlnm.Print_Area" localSheetId="21">'026284P'!$A$1:$Z$41</definedName>
    <definedName name="_xlnm.Print_Area" localSheetId="45">'026284P (2)'!$A$1:$Z$27</definedName>
    <definedName name="_xlnm.Print_Area" localSheetId="69">'026284P (3)'!$A$1:$Z$27</definedName>
    <definedName name="_xlnm.Print_Area" localSheetId="93">'026284P (4)'!$A$1:$Z$39</definedName>
    <definedName name="_xlnm.Print_Area" localSheetId="22">'026392P'!$A$1:$Z$42</definedName>
    <definedName name="_xlnm.Print_Area" localSheetId="46">'026392P (2)'!$A$1:$Z$27</definedName>
    <definedName name="_xlnm.Print_Area" localSheetId="70">'026392P (3)'!$A$1:$Z$27</definedName>
    <definedName name="_xlnm.Print_Area" localSheetId="94">'026392P (4)'!$A$1:$Z$40</definedName>
    <definedName name="_xlnm.Print_Area" localSheetId="23">'026508P'!$A$1:$Z$54</definedName>
    <definedName name="_xlnm.Print_Area" localSheetId="47">'026508P (2)'!$A$1:$Z$30</definedName>
    <definedName name="_xlnm.Print_Area" localSheetId="71">'026508P (3)'!$A$1:$Z$30</definedName>
    <definedName name="_xlnm.Print_Area" localSheetId="95">'026508P (4)'!$A$1:$Z$45</definedName>
    <definedName name="_xlnm.Print_Area" localSheetId="24">'026536RA'!$A$1:$Z$40</definedName>
    <definedName name="_xlnm.Print_Area" localSheetId="48">'026536RA (2)'!$A$1:$Z$27</definedName>
    <definedName name="_xlnm.Print_Area" localSheetId="72">'026536RA (3)'!$A$1:$Z$30</definedName>
    <definedName name="_xlnm.Print_Area" localSheetId="96">'026536RA (4)'!$A$1:$Z$40</definedName>
    <definedName name="_xlnm.Print_Area" localSheetId="25">'026575P'!$A$1:$Z$44</definedName>
    <definedName name="_xlnm.Print_Area" localSheetId="49">'026575P (2)'!$A$1:$Z$27</definedName>
    <definedName name="_xlnm.Print_Area" localSheetId="73">'026575P (3)'!$A$1:$Z$27</definedName>
    <definedName name="_xlnm.Print_Area" localSheetId="97">'026575P (4)'!$A$1:$Z$39</definedName>
    <definedName name="_xlnm.Print_Area" localSheetId="26">'026637P'!$A$1:$Z$66</definedName>
    <definedName name="_xlnm.Print_Area" localSheetId="50">'026637P (2)'!$A$1:$Z$34</definedName>
    <definedName name="_xlnm.Print_Area" localSheetId="74">'026637P (3)'!$A$1:$Z$38</definedName>
    <definedName name="_xlnm.Print_Area" localSheetId="98">'026637P (4)'!$A$1:$Z$49</definedName>
    <definedName name="_xlnm.Print_Area" localSheetId="2">'F4K SIGN-IN'!$D$6:$Y$89</definedName>
    <definedName name="_xlnm.Print_Area" localSheetId="1">'PICK LOG'!$D$6:$Z$44</definedName>
    <definedName name="_xlnm.Print_Titles" localSheetId="3">'001042RA'!$2:$2</definedName>
    <definedName name="_xlnm.Print_Titles" localSheetId="27">'001042RA (2)'!$2:$2</definedName>
    <definedName name="_xlnm.Print_Titles" localSheetId="51">'001042RA (3)'!$2:$2</definedName>
    <definedName name="_xlnm.Print_Titles" localSheetId="75">'001042RA (4)'!$2:$2</definedName>
    <definedName name="_xlnm.Print_Titles" localSheetId="4">'002051P'!$2:$2</definedName>
    <definedName name="_xlnm.Print_Titles" localSheetId="28">'002051P (2)'!$2:$2</definedName>
    <definedName name="_xlnm.Print_Titles" localSheetId="52">'002051P (3)'!$2:$2</definedName>
    <definedName name="_xlnm.Print_Titles" localSheetId="76">'002051P (4)'!$2:$2</definedName>
    <definedName name="_xlnm.Print_Titles" localSheetId="5">'002052P'!$2:$2</definedName>
    <definedName name="_xlnm.Print_Titles" localSheetId="29">'002052P (2)'!$2:$2</definedName>
    <definedName name="_xlnm.Print_Titles" localSheetId="53">'002052P (3)'!$2:$2</definedName>
    <definedName name="_xlnm.Print_Titles" localSheetId="77">'002052P (4)'!$2:$2</definedName>
    <definedName name="_xlnm.Print_Titles" localSheetId="6">'002098P'!$2:$2</definedName>
    <definedName name="_xlnm.Print_Titles" localSheetId="30">'002098P (2)'!$2:$2</definedName>
    <definedName name="_xlnm.Print_Titles" localSheetId="54">'002098P (3)'!$2:$2</definedName>
    <definedName name="_xlnm.Print_Titles" localSheetId="78">'002098P (4)'!$2:$2</definedName>
    <definedName name="_xlnm.Print_Titles" localSheetId="7">'002127P'!$2:$2</definedName>
    <definedName name="_xlnm.Print_Titles" localSheetId="31">'002127P (2)'!$2:$2</definedName>
    <definedName name="_xlnm.Print_Titles" localSheetId="55">'002127P (3)'!$2:$2</definedName>
    <definedName name="_xlnm.Print_Titles" localSheetId="79">'002127P (4)'!$2:$2</definedName>
    <definedName name="_xlnm.Print_Titles" localSheetId="8">'002218P'!$2:$2</definedName>
    <definedName name="_xlnm.Print_Titles" localSheetId="32">'002218P (2)'!$2:$2</definedName>
    <definedName name="_xlnm.Print_Titles" localSheetId="56">'002218P (3)'!$2:$2</definedName>
    <definedName name="_xlnm.Print_Titles" localSheetId="80">'002218P (4)'!$2:$2</definedName>
    <definedName name="_xlnm.Print_Titles" localSheetId="9">'002341P'!$2:$2</definedName>
    <definedName name="_xlnm.Print_Titles" localSheetId="33">'002341P (2)'!$2:$2</definedName>
    <definedName name="_xlnm.Print_Titles" localSheetId="57">'002341P (3)'!$2:$2</definedName>
    <definedName name="_xlnm.Print_Titles" localSheetId="81">'002341P (4)'!$2:$2</definedName>
    <definedName name="_xlnm.Print_Titles" localSheetId="10">'002491P'!$2:$2</definedName>
    <definedName name="_xlnm.Print_Titles" localSheetId="34">'002491P (2)'!$2:$2</definedName>
    <definedName name="_xlnm.Print_Titles" localSheetId="58">'002491P (3)'!$2:$2</definedName>
    <definedName name="_xlnm.Print_Titles" localSheetId="82">'002491P (4)'!$2:$2</definedName>
    <definedName name="_xlnm.Print_Titles" localSheetId="11">'002719P'!$2:$2</definedName>
    <definedName name="_xlnm.Print_Titles" localSheetId="35">'002719P (2)'!$2:$2</definedName>
    <definedName name="_xlnm.Print_Titles" localSheetId="59">'002719P (3)'!$2:$2</definedName>
    <definedName name="_xlnm.Print_Titles" localSheetId="83">'002719P (4)'!$2:$2</definedName>
    <definedName name="_xlnm.Print_Titles" localSheetId="12">'003405P'!$2:$2</definedName>
    <definedName name="_xlnm.Print_Titles" localSheetId="36">'003405P (2)'!$2:$2</definedName>
    <definedName name="_xlnm.Print_Titles" localSheetId="60">'003405P (3)'!$2:$2</definedName>
    <definedName name="_xlnm.Print_Titles" localSheetId="84">'003405P (4)'!$2:$2</definedName>
    <definedName name="_xlnm.Print_Titles" localSheetId="13">'003511RY'!$2:$2</definedName>
    <definedName name="_xlnm.Print_Titles" localSheetId="37">'003511RY (2)'!$2:$2</definedName>
    <definedName name="_xlnm.Print_Titles" localSheetId="61">'003511RY (3)'!$2:$2</definedName>
    <definedName name="_xlnm.Print_Titles" localSheetId="85">'003511RY (4)'!$2:$2</definedName>
    <definedName name="_xlnm.Print_Titles" localSheetId="14">'003549RA'!$2:$2</definedName>
    <definedName name="_xlnm.Print_Titles" localSheetId="38">'003549RA (2)'!$2:$2</definedName>
    <definedName name="_xlnm.Print_Titles" localSheetId="62">'003549RA (3)'!$2:$2</definedName>
    <definedName name="_xlnm.Print_Titles" localSheetId="86">'003549RA (4)'!$2:$2</definedName>
    <definedName name="_xlnm.Print_Titles" localSheetId="15">'004052HSF'!$2:$2</definedName>
    <definedName name="_xlnm.Print_Titles" localSheetId="39">'004052HSF (2)'!$2:$2</definedName>
    <definedName name="_xlnm.Print_Titles" localSheetId="63">'004052HSF (3)'!$2:$2</definedName>
    <definedName name="_xlnm.Print_Titles" localSheetId="87">'004052HSF (4)'!$2:$2</definedName>
    <definedName name="_xlnm.Print_Titles" localSheetId="16">'008146P'!$2:$2</definedName>
    <definedName name="_xlnm.Print_Titles" localSheetId="40">'008146P (2)'!$2:$2</definedName>
    <definedName name="_xlnm.Print_Titles" localSheetId="64">'008146P (3)'!$2:$2</definedName>
    <definedName name="_xlnm.Print_Titles" localSheetId="88">'008146P (4)'!$2:$2</definedName>
    <definedName name="_xlnm.Print_Titles" localSheetId="17">'026030P'!$2:$2</definedName>
    <definedName name="_xlnm.Print_Titles" localSheetId="41">'026030P (2)'!$2:$2</definedName>
    <definedName name="_xlnm.Print_Titles" localSheetId="65">'026030P (3)'!$2:$2</definedName>
    <definedName name="_xlnm.Print_Titles" localSheetId="89">'026030P (4)'!$2:$2</definedName>
    <definedName name="_xlnm.Print_Titles" localSheetId="18">'026056P5'!$2:$2</definedName>
    <definedName name="_xlnm.Print_Titles" localSheetId="42">'026056P5 (2)'!$2:$2</definedName>
    <definedName name="_xlnm.Print_Titles" localSheetId="66">'026056P5 (3)'!$2:$2</definedName>
    <definedName name="_xlnm.Print_Titles" localSheetId="90">'026056P5 (4)'!$2:$2</definedName>
    <definedName name="_xlnm.Print_Titles" localSheetId="19">'026066RA1'!$2:$2</definedName>
    <definedName name="_xlnm.Print_Titles" localSheetId="43">'026066RA1 (2)'!$2:$2</definedName>
    <definedName name="_xlnm.Print_Titles" localSheetId="67">'026066RA1 (3)'!$2:$2</definedName>
    <definedName name="_xlnm.Print_Titles" localSheetId="91">'026066RA1 (4)'!$2:$2</definedName>
    <definedName name="_xlnm.Print_Titles" localSheetId="20">'026077P'!$2:$2</definedName>
    <definedName name="_xlnm.Print_Titles" localSheetId="44">'026077P (2)'!$2:$2</definedName>
    <definedName name="_xlnm.Print_Titles" localSheetId="68">'026077P (3)'!$2:$2</definedName>
    <definedName name="_xlnm.Print_Titles" localSheetId="92">'026077P (4)'!$2:$2</definedName>
    <definedName name="_xlnm.Print_Titles" localSheetId="21">'026284P'!$2:$2</definedName>
    <definedName name="_xlnm.Print_Titles" localSheetId="45">'026284P (2)'!$2:$2</definedName>
    <definedName name="_xlnm.Print_Titles" localSheetId="69">'026284P (3)'!$2:$2</definedName>
    <definedName name="_xlnm.Print_Titles" localSheetId="93">'026284P (4)'!$2:$2</definedName>
    <definedName name="_xlnm.Print_Titles" localSheetId="22">'026392P'!$2:$2</definedName>
    <definedName name="_xlnm.Print_Titles" localSheetId="46">'026392P (2)'!$2:$2</definedName>
    <definedName name="_xlnm.Print_Titles" localSheetId="70">'026392P (3)'!$2:$2</definedName>
    <definedName name="_xlnm.Print_Titles" localSheetId="94">'026392P (4)'!$2:$2</definedName>
    <definedName name="_xlnm.Print_Titles" localSheetId="23">'026508P'!$2:$2</definedName>
    <definedName name="_xlnm.Print_Titles" localSheetId="47">'026508P (2)'!$2:$2</definedName>
    <definedName name="_xlnm.Print_Titles" localSheetId="71">'026508P (3)'!$2:$2</definedName>
    <definedName name="_xlnm.Print_Titles" localSheetId="95">'026508P (4)'!$2:$2</definedName>
    <definedName name="_xlnm.Print_Titles" localSheetId="24">'026536RA'!$2:$2</definedName>
    <definedName name="_xlnm.Print_Titles" localSheetId="48">'026536RA (2)'!$2:$2</definedName>
    <definedName name="_xlnm.Print_Titles" localSheetId="72">'026536RA (3)'!$2:$2</definedName>
    <definedName name="_xlnm.Print_Titles" localSheetId="96">'026536RA (4)'!$2:$2</definedName>
    <definedName name="_xlnm.Print_Titles" localSheetId="25">'026575P'!$2:$2</definedName>
    <definedName name="_xlnm.Print_Titles" localSheetId="49">'026575P (2)'!$2:$2</definedName>
    <definedName name="_xlnm.Print_Titles" localSheetId="73">'026575P (3)'!$2:$2</definedName>
    <definedName name="_xlnm.Print_Titles" localSheetId="97">'026575P (4)'!$2:$2</definedName>
    <definedName name="_xlnm.Print_Titles" localSheetId="26">'026637P'!$2:$2</definedName>
    <definedName name="_xlnm.Print_Titles" localSheetId="50">'026637P (2)'!$2:$2</definedName>
    <definedName name="_xlnm.Print_Titles" localSheetId="74">'026637P (3)'!$2:$2</definedName>
    <definedName name="_xlnm.Print_Titles" localSheetId="98">'026637P (4)'!$2:$2</definedName>
    <definedName name="_xlnm.Print_Titles" localSheetId="2">'F4K SIGN-IN'!$6:$7</definedName>
    <definedName name="_xlnm.Print_Titles" localSheetId="1">'PICK LOG'!$6:$7</definedName>
  </definedNames>
  <calcPr calcId="152511"/>
</workbook>
</file>

<file path=xl/calcChain.xml><?xml version="1.0" encoding="utf-8"?>
<calcChain xmlns="http://schemas.openxmlformats.org/spreadsheetml/2006/main">
  <c r="F41" i="2633" l="1"/>
  <c r="F42" i="2633"/>
  <c r="F43" i="2633"/>
  <c r="F12" i="2633"/>
  <c r="F13" i="2633"/>
  <c r="F14" i="2633"/>
  <c r="F15" i="2633"/>
  <c r="F16" i="2633"/>
  <c r="F17" i="2633"/>
  <c r="F18" i="2633"/>
  <c r="F19" i="2633"/>
  <c r="F20" i="2633"/>
  <c r="E12" i="2633"/>
  <c r="E13" i="2633"/>
  <c r="E14" i="2633"/>
  <c r="E15" i="2633"/>
  <c r="E16" i="2633"/>
  <c r="E17" i="2633"/>
  <c r="E18" i="2633"/>
  <c r="E19" i="2633"/>
  <c r="E20" i="2633"/>
  <c r="C13" i="2633"/>
  <c r="C14" i="2633"/>
  <c r="C15" i="2633"/>
  <c r="C16" i="2633"/>
  <c r="C17" i="2633"/>
  <c r="C18" i="2633"/>
  <c r="C19" i="2633"/>
  <c r="C20" i="2633"/>
  <c r="C13" i="2632"/>
  <c r="F34" i="2631"/>
  <c r="C13" i="2631"/>
  <c r="F37" i="2630"/>
  <c r="F38" i="2630"/>
  <c r="F39" i="2630"/>
  <c r="F12" i="2630"/>
  <c r="F13" i="2630"/>
  <c r="F14" i="2630"/>
  <c r="F15" i="2630"/>
  <c r="F16" i="2630"/>
  <c r="E12" i="2630"/>
  <c r="E13" i="2630"/>
  <c r="E14" i="2630"/>
  <c r="E15" i="2630"/>
  <c r="E16" i="2630"/>
  <c r="C13" i="2630"/>
  <c r="C14" i="2630"/>
  <c r="C15" i="2630"/>
  <c r="C16" i="2630"/>
  <c r="F34" i="2629"/>
  <c r="C13" i="2629"/>
  <c r="C13" i="2628"/>
  <c r="F35" i="2627"/>
  <c r="C13" i="2627"/>
  <c r="C14" i="2627"/>
  <c r="C13" i="2626"/>
  <c r="C14" i="2626"/>
  <c r="C13" i="2623"/>
  <c r="C13" i="2622"/>
  <c r="F44" i="2621"/>
  <c r="F45" i="2621"/>
  <c r="F46" i="2621"/>
  <c r="F47" i="2621"/>
  <c r="F48" i="2621"/>
  <c r="F49" i="2621"/>
  <c r="F12" i="2621"/>
  <c r="F13" i="2621"/>
  <c r="F14" i="2621"/>
  <c r="F15" i="2621"/>
  <c r="F16" i="2621"/>
  <c r="F17" i="2621"/>
  <c r="F18" i="2621"/>
  <c r="F19" i="2621"/>
  <c r="F20" i="2621"/>
  <c r="F21" i="2621"/>
  <c r="F22" i="2621"/>
  <c r="F23" i="2621"/>
  <c r="E12" i="2621"/>
  <c r="E13" i="2621"/>
  <c r="E14" i="2621"/>
  <c r="E15" i="2621"/>
  <c r="E16" i="2621"/>
  <c r="E17" i="2621"/>
  <c r="E18" i="2621"/>
  <c r="E19" i="2621"/>
  <c r="E20" i="2621"/>
  <c r="E21" i="2621"/>
  <c r="E22" i="2621"/>
  <c r="E23" i="2621"/>
  <c r="C13" i="2621"/>
  <c r="C14" i="2621"/>
  <c r="C15" i="2621"/>
  <c r="C16" i="2621"/>
  <c r="C17" i="2621"/>
  <c r="C18" i="2621"/>
  <c r="C19" i="2621"/>
  <c r="C20" i="2621"/>
  <c r="C21" i="2621"/>
  <c r="C22" i="2621"/>
  <c r="C23" i="2621"/>
  <c r="C13" i="2620"/>
  <c r="F37" i="2619"/>
  <c r="F12" i="2619"/>
  <c r="F13" i="2619"/>
  <c r="F14" i="2619"/>
  <c r="F15" i="2619"/>
  <c r="F16" i="2619"/>
  <c r="E12" i="2619"/>
  <c r="E13" i="2619"/>
  <c r="E14" i="2619"/>
  <c r="E15" i="2619"/>
  <c r="E16" i="2619"/>
  <c r="C13" i="2619"/>
  <c r="C14" i="2619"/>
  <c r="C15" i="2619"/>
  <c r="C16" i="2619"/>
  <c r="C13" i="2618"/>
  <c r="C13" i="2617"/>
  <c r="F39" i="2616"/>
  <c r="F40" i="2616"/>
  <c r="F41" i="2616"/>
  <c r="F42" i="2616"/>
  <c r="F12" i="2616"/>
  <c r="F13" i="2616"/>
  <c r="F14" i="2616"/>
  <c r="F15" i="2616"/>
  <c r="F16" i="2616"/>
  <c r="F17" i="2616"/>
  <c r="F18" i="2616"/>
  <c r="E12" i="2616"/>
  <c r="E13" i="2616"/>
  <c r="E14" i="2616"/>
  <c r="E15" i="2616"/>
  <c r="E16" i="2616"/>
  <c r="E17" i="2616"/>
  <c r="E18" i="2616"/>
  <c r="C13" i="2616"/>
  <c r="C14" i="2616"/>
  <c r="C15" i="2616"/>
  <c r="C16" i="2616"/>
  <c r="C17" i="2616"/>
  <c r="C18" i="2616"/>
  <c r="F34" i="2615"/>
  <c r="C13" i="2615"/>
  <c r="F37" i="2614"/>
  <c r="F38" i="2614"/>
  <c r="F12" i="2614"/>
  <c r="F13" i="2614"/>
  <c r="F14" i="2614"/>
  <c r="F15" i="2614"/>
  <c r="F16" i="2614"/>
  <c r="E12" i="2614"/>
  <c r="E13" i="2614"/>
  <c r="E14" i="2614"/>
  <c r="E15" i="2614"/>
  <c r="E16" i="2614"/>
  <c r="C13" i="2614"/>
  <c r="C14" i="2614"/>
  <c r="C15" i="2614"/>
  <c r="C16" i="2614"/>
  <c r="C13" i="2613"/>
  <c r="C13" i="2612"/>
  <c r="C14" i="2612"/>
  <c r="F45" i="2610"/>
  <c r="F46" i="2610"/>
  <c r="F47" i="2610"/>
  <c r="P32" i="2610"/>
  <c r="P33" i="2610"/>
  <c r="P34" i="2610"/>
  <c r="P35" i="2610"/>
  <c r="P36" i="2610"/>
  <c r="J32" i="2610"/>
  <c r="J33" i="2610"/>
  <c r="J34" i="2610"/>
  <c r="J35" i="2610"/>
  <c r="J36" i="2610"/>
  <c r="H32" i="2610"/>
  <c r="H33" i="2610"/>
  <c r="H34" i="2610"/>
  <c r="H35" i="2610"/>
  <c r="H36" i="2610"/>
  <c r="F32" i="2610"/>
  <c r="F33" i="2610"/>
  <c r="F34" i="2610"/>
  <c r="F35" i="2610"/>
  <c r="F36" i="2610"/>
  <c r="E32" i="2610"/>
  <c r="E33" i="2610"/>
  <c r="E34" i="2610"/>
  <c r="E35" i="2610"/>
  <c r="E36" i="2610"/>
  <c r="D32" i="2610"/>
  <c r="D33" i="2610"/>
  <c r="D34" i="2610"/>
  <c r="D35" i="2610"/>
  <c r="D36" i="2610"/>
  <c r="C33" i="2610"/>
  <c r="C34" i="2610"/>
  <c r="C35" i="2610"/>
  <c r="C36" i="2610"/>
  <c r="B36" i="2610"/>
  <c r="B35" i="2610"/>
  <c r="B34" i="2610"/>
  <c r="B33" i="2610"/>
  <c r="F12" i="2610"/>
  <c r="F13" i="2610"/>
  <c r="F14" i="2610"/>
  <c r="F15" i="2610"/>
  <c r="F16" i="2610"/>
  <c r="F17" i="2610"/>
  <c r="F18" i="2610"/>
  <c r="F19" i="2610"/>
  <c r="F20" i="2610"/>
  <c r="E12" i="2610"/>
  <c r="E13" i="2610"/>
  <c r="E14" i="2610"/>
  <c r="E15" i="2610"/>
  <c r="E16" i="2610"/>
  <c r="E17" i="2610"/>
  <c r="E18" i="2610"/>
  <c r="E19" i="2610"/>
  <c r="E20" i="2610"/>
  <c r="C13" i="2610"/>
  <c r="C14" i="2610"/>
  <c r="C15" i="2610"/>
  <c r="C16" i="2610"/>
  <c r="C17" i="2610"/>
  <c r="C18" i="2610"/>
  <c r="C19" i="2610"/>
  <c r="C20" i="2610"/>
  <c r="C13" i="2609"/>
  <c r="F37" i="2608"/>
  <c r="C26" i="2608"/>
  <c r="C27" i="2608"/>
  <c r="C28" i="2608"/>
  <c r="B26" i="2608" l="1"/>
  <c r="B27" i="2608"/>
  <c r="B28" i="2608"/>
  <c r="C13" i="2608"/>
  <c r="F37" i="2607"/>
  <c r="F38" i="2607"/>
  <c r="F39" i="2607"/>
  <c r="F12" i="2607"/>
  <c r="F13" i="2607"/>
  <c r="F14" i="2607"/>
  <c r="F15" i="2607"/>
  <c r="F16" i="2607"/>
  <c r="E12" i="2607"/>
  <c r="E13" i="2607"/>
  <c r="E14" i="2607"/>
  <c r="E15" i="2607"/>
  <c r="E16" i="2607"/>
  <c r="C13" i="2607"/>
  <c r="C14" i="2607"/>
  <c r="C15" i="2607"/>
  <c r="C16" i="2607"/>
  <c r="F34" i="2606"/>
  <c r="C13" i="2606"/>
  <c r="C13" i="2605"/>
  <c r="F38" i="2604"/>
  <c r="C27" i="2604"/>
  <c r="C28" i="2604"/>
  <c r="C29" i="2604"/>
  <c r="B27" i="2604" l="1"/>
  <c r="B28" i="2604"/>
  <c r="B29" i="2604"/>
  <c r="C13" i="2604"/>
  <c r="C14" i="2604"/>
  <c r="C27" i="2603"/>
  <c r="B27" i="2603" l="1"/>
  <c r="C13" i="2603"/>
  <c r="C14" i="2603"/>
  <c r="C13" i="2600"/>
  <c r="C13" i="2599"/>
  <c r="F51" i="2598"/>
  <c r="F52" i="2598"/>
  <c r="F53" i="2598"/>
  <c r="F54" i="2598"/>
  <c r="F55" i="2598"/>
  <c r="F56" i="2598"/>
  <c r="P35" i="2598"/>
  <c r="P36" i="2598"/>
  <c r="P37" i="2598"/>
  <c r="P38" i="2598"/>
  <c r="P39" i="2598"/>
  <c r="P40" i="2598"/>
  <c r="P41" i="2598"/>
  <c r="P42" i="2598"/>
  <c r="J35" i="2598"/>
  <c r="J36" i="2598"/>
  <c r="J37" i="2598"/>
  <c r="J38" i="2598"/>
  <c r="J39" i="2598"/>
  <c r="J40" i="2598"/>
  <c r="J41" i="2598"/>
  <c r="J42" i="2598"/>
  <c r="H35" i="2598"/>
  <c r="H36" i="2598"/>
  <c r="H37" i="2598"/>
  <c r="H38" i="2598"/>
  <c r="H39" i="2598"/>
  <c r="H40" i="2598"/>
  <c r="H41" i="2598"/>
  <c r="H42" i="2598"/>
  <c r="F35" i="2598"/>
  <c r="F36" i="2598"/>
  <c r="F37" i="2598"/>
  <c r="F38" i="2598"/>
  <c r="F39" i="2598"/>
  <c r="F40" i="2598"/>
  <c r="F41" i="2598"/>
  <c r="F42" i="2598"/>
  <c r="E35" i="2598"/>
  <c r="E36" i="2598"/>
  <c r="E37" i="2598"/>
  <c r="E38" i="2598"/>
  <c r="E39" i="2598"/>
  <c r="E40" i="2598"/>
  <c r="E41" i="2598"/>
  <c r="E42" i="2598"/>
  <c r="D35" i="2598"/>
  <c r="D36" i="2598"/>
  <c r="D37" i="2598"/>
  <c r="D38" i="2598"/>
  <c r="D39" i="2598"/>
  <c r="D40" i="2598"/>
  <c r="D41" i="2598"/>
  <c r="D42" i="2598"/>
  <c r="C36" i="2598"/>
  <c r="C37" i="2598"/>
  <c r="C38" i="2598"/>
  <c r="C39" i="2598"/>
  <c r="C40" i="2598"/>
  <c r="C41" i="2598"/>
  <c r="C42" i="2598"/>
  <c r="B42" i="2598"/>
  <c r="B41" i="2598"/>
  <c r="B40" i="2598"/>
  <c r="B39" i="2598"/>
  <c r="B38" i="2598"/>
  <c r="B37" i="2598"/>
  <c r="B36" i="2598"/>
  <c r="F12" i="2598"/>
  <c r="F13" i="2598"/>
  <c r="F14" i="2598"/>
  <c r="F15" i="2598"/>
  <c r="F16" i="2598"/>
  <c r="F17" i="2598"/>
  <c r="F18" i="2598"/>
  <c r="F19" i="2598"/>
  <c r="F20" i="2598"/>
  <c r="F21" i="2598"/>
  <c r="F22" i="2598"/>
  <c r="F23" i="2598"/>
  <c r="E12" i="2598"/>
  <c r="E13" i="2598"/>
  <c r="E14" i="2598"/>
  <c r="E15" i="2598"/>
  <c r="E16" i="2598"/>
  <c r="E17" i="2598"/>
  <c r="E18" i="2598"/>
  <c r="E19" i="2598"/>
  <c r="E20" i="2598"/>
  <c r="E21" i="2598"/>
  <c r="E22" i="2598"/>
  <c r="E23" i="2598"/>
  <c r="C13" i="2598"/>
  <c r="C14" i="2598"/>
  <c r="C15" i="2598"/>
  <c r="C16" i="2598"/>
  <c r="C17" i="2598"/>
  <c r="C18" i="2598"/>
  <c r="C19" i="2598"/>
  <c r="C20" i="2598"/>
  <c r="C21" i="2598"/>
  <c r="C22" i="2598"/>
  <c r="C23" i="2598"/>
  <c r="C13" i="2597"/>
  <c r="F38" i="2596"/>
  <c r="C29" i="2596"/>
  <c r="B29" i="2596" l="1"/>
  <c r="F12" i="2596"/>
  <c r="F13" i="2596"/>
  <c r="F14" i="2596"/>
  <c r="F15" i="2596"/>
  <c r="F16" i="2596"/>
  <c r="E12" i="2596"/>
  <c r="E13" i="2596"/>
  <c r="E14" i="2596"/>
  <c r="E15" i="2596"/>
  <c r="E16" i="2596"/>
  <c r="C13" i="2596"/>
  <c r="C14" i="2596"/>
  <c r="C15" i="2596"/>
  <c r="C16" i="2596"/>
  <c r="C13" i="2595"/>
  <c r="P25" i="2594"/>
  <c r="P26" i="2594"/>
  <c r="P27" i="2594"/>
  <c r="P28" i="2594"/>
  <c r="P29" i="2594"/>
  <c r="P30" i="2594"/>
  <c r="P31" i="2594"/>
  <c r="P32" i="2594"/>
  <c r="J25" i="2594"/>
  <c r="J26" i="2594"/>
  <c r="J27" i="2594"/>
  <c r="J28" i="2594"/>
  <c r="J29" i="2594"/>
  <c r="J30" i="2594"/>
  <c r="J31" i="2594"/>
  <c r="J32" i="2594"/>
  <c r="H25" i="2594"/>
  <c r="H26" i="2594"/>
  <c r="H27" i="2594"/>
  <c r="H28" i="2594"/>
  <c r="H29" i="2594"/>
  <c r="H30" i="2594"/>
  <c r="H31" i="2594"/>
  <c r="H32" i="2594"/>
  <c r="F25" i="2594"/>
  <c r="F26" i="2594"/>
  <c r="F27" i="2594"/>
  <c r="F28" i="2594"/>
  <c r="F29" i="2594"/>
  <c r="F30" i="2594"/>
  <c r="F31" i="2594"/>
  <c r="F32" i="2594"/>
  <c r="E25" i="2594"/>
  <c r="E26" i="2594"/>
  <c r="E27" i="2594"/>
  <c r="E28" i="2594"/>
  <c r="E29" i="2594"/>
  <c r="E30" i="2594"/>
  <c r="E31" i="2594"/>
  <c r="E32" i="2594"/>
  <c r="D25" i="2594"/>
  <c r="D26" i="2594"/>
  <c r="D27" i="2594"/>
  <c r="D28" i="2594"/>
  <c r="D29" i="2594"/>
  <c r="D30" i="2594"/>
  <c r="D31" i="2594"/>
  <c r="D32" i="2594"/>
  <c r="C26" i="2594"/>
  <c r="C27" i="2594"/>
  <c r="C28" i="2594"/>
  <c r="C29" i="2594"/>
  <c r="C30" i="2594"/>
  <c r="C31" i="2594"/>
  <c r="C32" i="2594"/>
  <c r="B32" i="2594"/>
  <c r="B31" i="2594"/>
  <c r="B30" i="2594"/>
  <c r="B29" i="2594"/>
  <c r="B28" i="2594"/>
  <c r="B27" i="2594"/>
  <c r="B26" i="2594"/>
  <c r="C13" i="2594"/>
  <c r="F42" i="2593"/>
  <c r="F43" i="2593"/>
  <c r="F44" i="2593"/>
  <c r="F45" i="2593"/>
  <c r="C31" i="2593"/>
  <c r="C32" i="2593"/>
  <c r="C33" i="2593"/>
  <c r="B31" i="2593" l="1"/>
  <c r="B32" i="2593"/>
  <c r="B33" i="2593"/>
  <c r="F12" i="2593"/>
  <c r="F13" i="2593"/>
  <c r="F14" i="2593"/>
  <c r="F15" i="2593"/>
  <c r="F16" i="2593"/>
  <c r="F17" i="2593"/>
  <c r="F18" i="2593"/>
  <c r="E12" i="2593"/>
  <c r="E13" i="2593"/>
  <c r="E14" i="2593"/>
  <c r="E15" i="2593"/>
  <c r="E16" i="2593"/>
  <c r="E17" i="2593"/>
  <c r="E18" i="2593"/>
  <c r="C13" i="2593"/>
  <c r="C14" i="2593"/>
  <c r="C15" i="2593"/>
  <c r="C16" i="2593"/>
  <c r="C17" i="2593"/>
  <c r="C18" i="2593"/>
  <c r="F40" i="2592"/>
  <c r="P25" i="2592"/>
  <c r="P26" i="2592"/>
  <c r="P27" i="2592"/>
  <c r="P28" i="2592"/>
  <c r="P29" i="2592"/>
  <c r="P30" i="2592"/>
  <c r="P31" i="2592"/>
  <c r="J25" i="2592"/>
  <c r="J26" i="2592"/>
  <c r="J27" i="2592"/>
  <c r="J28" i="2592"/>
  <c r="J29" i="2592"/>
  <c r="J30" i="2592"/>
  <c r="J31" i="2592"/>
  <c r="H25" i="2592"/>
  <c r="H26" i="2592"/>
  <c r="H27" i="2592"/>
  <c r="H28" i="2592"/>
  <c r="H29" i="2592"/>
  <c r="H30" i="2592"/>
  <c r="H31" i="2592"/>
  <c r="F25" i="2592"/>
  <c r="F26" i="2592"/>
  <c r="F27" i="2592"/>
  <c r="F28" i="2592"/>
  <c r="F29" i="2592"/>
  <c r="F30" i="2592"/>
  <c r="F31" i="2592"/>
  <c r="E25" i="2592"/>
  <c r="E26" i="2592"/>
  <c r="E27" i="2592"/>
  <c r="E28" i="2592"/>
  <c r="E29" i="2592"/>
  <c r="E30" i="2592"/>
  <c r="E31" i="2592"/>
  <c r="D25" i="2592"/>
  <c r="D26" i="2592"/>
  <c r="D27" i="2592"/>
  <c r="D28" i="2592"/>
  <c r="D29" i="2592"/>
  <c r="D30" i="2592"/>
  <c r="D31" i="2592"/>
  <c r="C26" i="2592"/>
  <c r="C27" i="2592"/>
  <c r="C28" i="2592"/>
  <c r="C29" i="2592"/>
  <c r="C30" i="2592"/>
  <c r="C31" i="2592"/>
  <c r="B31" i="2592"/>
  <c r="B30" i="2592"/>
  <c r="B29" i="2592"/>
  <c r="B28" i="2592"/>
  <c r="B27" i="2592"/>
  <c r="B26" i="2592"/>
  <c r="C13" i="2592"/>
  <c r="F37" i="2591"/>
  <c r="F38" i="2591"/>
  <c r="F12" i="2591"/>
  <c r="F13" i="2591"/>
  <c r="F14" i="2591"/>
  <c r="F15" i="2591"/>
  <c r="F16" i="2591"/>
  <c r="E12" i="2591"/>
  <c r="E13" i="2591"/>
  <c r="E14" i="2591"/>
  <c r="E15" i="2591"/>
  <c r="E16" i="2591"/>
  <c r="C13" i="2591"/>
  <c r="C14" i="2591"/>
  <c r="C15" i="2591"/>
  <c r="C16" i="2591"/>
  <c r="C13" i="2590"/>
  <c r="C13" i="2589"/>
  <c r="C14" i="2589"/>
  <c r="F41" i="2587"/>
  <c r="F42" i="2587"/>
  <c r="F43" i="2587"/>
  <c r="F12" i="2587"/>
  <c r="F13" i="2587"/>
  <c r="F14" i="2587"/>
  <c r="F15" i="2587"/>
  <c r="F16" i="2587"/>
  <c r="F17" i="2587"/>
  <c r="F18" i="2587"/>
  <c r="F19" i="2587"/>
  <c r="F20" i="2587"/>
  <c r="E12" i="2587"/>
  <c r="E13" i="2587"/>
  <c r="E14" i="2587"/>
  <c r="E15" i="2587"/>
  <c r="E16" i="2587"/>
  <c r="E17" i="2587"/>
  <c r="E18" i="2587"/>
  <c r="E19" i="2587"/>
  <c r="E20" i="2587"/>
  <c r="C13" i="2587"/>
  <c r="C14" i="2587"/>
  <c r="C15" i="2587"/>
  <c r="C16" i="2587"/>
  <c r="C17" i="2587"/>
  <c r="C18" i="2587"/>
  <c r="C19" i="2587"/>
  <c r="C20" i="2587"/>
  <c r="C13" i="2586"/>
  <c r="F34" i="2585"/>
  <c r="C13" i="2585"/>
  <c r="F37" i="2584"/>
  <c r="F38" i="2584"/>
  <c r="F39" i="2584"/>
  <c r="F12" i="2584"/>
  <c r="F13" i="2584"/>
  <c r="F14" i="2584"/>
  <c r="F15" i="2584"/>
  <c r="F16" i="2584"/>
  <c r="E12" i="2584"/>
  <c r="E13" i="2584"/>
  <c r="E14" i="2584"/>
  <c r="E15" i="2584"/>
  <c r="E16" i="2584"/>
  <c r="C13" i="2584"/>
  <c r="C14" i="2584"/>
  <c r="C15" i="2584"/>
  <c r="C16" i="2584"/>
  <c r="F34" i="2583"/>
  <c r="C13" i="2583"/>
  <c r="C13" i="2582"/>
  <c r="F35" i="2581"/>
  <c r="C13" i="2581"/>
  <c r="C14" i="2581"/>
  <c r="C13" i="2580"/>
  <c r="C14" i="2580"/>
  <c r="C13" i="2577"/>
  <c r="C13" i="2576"/>
  <c r="F44" i="2575"/>
  <c r="F45" i="2575"/>
  <c r="F46" i="2575"/>
  <c r="F47" i="2575"/>
  <c r="F48" i="2575"/>
  <c r="F49" i="2575"/>
  <c r="F12" i="2575"/>
  <c r="F13" i="2575"/>
  <c r="F14" i="2575"/>
  <c r="F15" i="2575"/>
  <c r="F16" i="2575"/>
  <c r="F17" i="2575"/>
  <c r="F18" i="2575"/>
  <c r="F19" i="2575"/>
  <c r="F20" i="2575"/>
  <c r="F21" i="2575"/>
  <c r="F22" i="2575"/>
  <c r="F23" i="2575"/>
  <c r="E12" i="2575"/>
  <c r="E13" i="2575"/>
  <c r="E14" i="2575"/>
  <c r="E15" i="2575"/>
  <c r="E16" i="2575"/>
  <c r="E17" i="2575"/>
  <c r="E18" i="2575"/>
  <c r="E19" i="2575"/>
  <c r="E20" i="2575"/>
  <c r="E21" i="2575"/>
  <c r="E22" i="2575"/>
  <c r="E23" i="2575"/>
  <c r="C13" i="2575"/>
  <c r="C14" i="2575"/>
  <c r="C15" i="2575"/>
  <c r="C16" i="2575"/>
  <c r="C17" i="2575"/>
  <c r="C18" i="2575"/>
  <c r="C19" i="2575"/>
  <c r="C20" i="2575"/>
  <c r="C21" i="2575"/>
  <c r="C22" i="2575"/>
  <c r="C23" i="2575"/>
  <c r="C13" i="2574"/>
  <c r="F37" i="2573"/>
  <c r="F12" i="2573"/>
  <c r="F13" i="2573"/>
  <c r="F14" i="2573"/>
  <c r="F15" i="2573"/>
  <c r="F16" i="2573"/>
  <c r="E12" i="2573"/>
  <c r="E13" i="2573"/>
  <c r="E14" i="2573"/>
  <c r="E15" i="2573"/>
  <c r="E16" i="2573"/>
  <c r="C13" i="2573"/>
  <c r="C14" i="2573"/>
  <c r="C15" i="2573"/>
  <c r="C16" i="2573"/>
  <c r="C13" i="2572"/>
  <c r="C13" i="2571"/>
  <c r="F39" i="2570"/>
  <c r="F40" i="2570"/>
  <c r="F41" i="2570"/>
  <c r="F42" i="2570"/>
  <c r="F12" i="2570"/>
  <c r="F13" i="2570"/>
  <c r="F14" i="2570"/>
  <c r="F15" i="2570"/>
  <c r="F16" i="2570"/>
  <c r="F17" i="2570"/>
  <c r="F18" i="2570"/>
  <c r="E12" i="2570"/>
  <c r="E13" i="2570"/>
  <c r="E14" i="2570"/>
  <c r="E15" i="2570"/>
  <c r="E16" i="2570"/>
  <c r="E17" i="2570"/>
  <c r="E18" i="2570"/>
  <c r="C13" i="2570"/>
  <c r="C14" i="2570"/>
  <c r="C15" i="2570"/>
  <c r="C16" i="2570"/>
  <c r="C17" i="2570"/>
  <c r="C18" i="2570"/>
  <c r="F34" i="2569"/>
  <c r="C13" i="2569"/>
  <c r="F37" i="2568"/>
  <c r="F38" i="2568"/>
  <c r="F12" i="2568"/>
  <c r="F13" i="2568"/>
  <c r="F14" i="2568"/>
  <c r="F15" i="2568"/>
  <c r="F16" i="2568"/>
  <c r="E12" i="2568"/>
  <c r="E13" i="2568"/>
  <c r="E14" i="2568"/>
  <c r="E15" i="2568"/>
  <c r="E16" i="2568"/>
  <c r="C13" i="2568"/>
  <c r="C14" i="2568"/>
  <c r="C15" i="2568"/>
  <c r="C16" i="2568"/>
  <c r="C13" i="2567"/>
  <c r="C13" i="2566"/>
  <c r="C14" i="2566"/>
  <c r="F58" i="2564"/>
  <c r="F59" i="2564"/>
  <c r="F60" i="2564"/>
  <c r="P32" i="2564"/>
  <c r="P33" i="2564"/>
  <c r="P34" i="2564"/>
  <c r="P35" i="2564"/>
  <c r="P36" i="2564"/>
  <c r="P37" i="2564"/>
  <c r="P38" i="2564"/>
  <c r="P39" i="2564"/>
  <c r="P40" i="2564"/>
  <c r="P41" i="2564"/>
  <c r="P42" i="2564"/>
  <c r="P43" i="2564"/>
  <c r="P44" i="2564"/>
  <c r="P45" i="2564"/>
  <c r="P46" i="2564"/>
  <c r="P47" i="2564"/>
  <c r="P48" i="2564"/>
  <c r="P49" i="2564"/>
  <c r="J32" i="2564"/>
  <c r="J33" i="2564"/>
  <c r="J34" i="2564"/>
  <c r="J35" i="2564"/>
  <c r="J36" i="2564"/>
  <c r="J37" i="2564"/>
  <c r="J38" i="2564"/>
  <c r="J39" i="2564"/>
  <c r="J40" i="2564"/>
  <c r="J41" i="2564"/>
  <c r="J42" i="2564"/>
  <c r="J43" i="2564"/>
  <c r="J44" i="2564"/>
  <c r="J45" i="2564"/>
  <c r="J46" i="2564"/>
  <c r="J47" i="2564"/>
  <c r="J48" i="2564"/>
  <c r="J49" i="2564"/>
  <c r="H32" i="2564"/>
  <c r="H33" i="2564"/>
  <c r="H34" i="2564"/>
  <c r="H35" i="2564"/>
  <c r="H36" i="2564"/>
  <c r="H37" i="2564"/>
  <c r="H38" i="2564"/>
  <c r="H39" i="2564"/>
  <c r="H40" i="2564"/>
  <c r="H41" i="2564"/>
  <c r="H42" i="2564"/>
  <c r="H43" i="2564"/>
  <c r="H44" i="2564"/>
  <c r="H45" i="2564"/>
  <c r="H46" i="2564"/>
  <c r="H47" i="2564"/>
  <c r="H48" i="2564"/>
  <c r="H49" i="2564"/>
  <c r="F32" i="2564"/>
  <c r="F33" i="2564"/>
  <c r="F34" i="2564"/>
  <c r="F35" i="2564"/>
  <c r="F36" i="2564"/>
  <c r="F37" i="2564"/>
  <c r="F38" i="2564"/>
  <c r="F39" i="2564"/>
  <c r="F40" i="2564"/>
  <c r="F41" i="2564"/>
  <c r="F42" i="2564"/>
  <c r="F43" i="2564"/>
  <c r="F44" i="2564"/>
  <c r="F45" i="2564"/>
  <c r="F46" i="2564"/>
  <c r="F47" i="2564"/>
  <c r="F48" i="2564"/>
  <c r="F49" i="2564"/>
  <c r="E32" i="2564"/>
  <c r="E33" i="2564"/>
  <c r="E34" i="2564"/>
  <c r="E35" i="2564"/>
  <c r="E36" i="2564"/>
  <c r="E37" i="2564"/>
  <c r="E38" i="2564"/>
  <c r="E39" i="2564"/>
  <c r="E40" i="2564"/>
  <c r="E41" i="2564"/>
  <c r="E42" i="2564"/>
  <c r="E43" i="2564"/>
  <c r="E44" i="2564"/>
  <c r="E45" i="2564"/>
  <c r="E46" i="2564"/>
  <c r="E47" i="2564"/>
  <c r="E48" i="2564"/>
  <c r="E49" i="2564"/>
  <c r="D32" i="2564"/>
  <c r="D33" i="2564"/>
  <c r="D34" i="2564"/>
  <c r="D35" i="2564"/>
  <c r="D36" i="2564"/>
  <c r="D37" i="2564"/>
  <c r="D38" i="2564"/>
  <c r="D39" i="2564"/>
  <c r="D40" i="2564"/>
  <c r="D41" i="2564"/>
  <c r="D42" i="2564"/>
  <c r="D43" i="2564"/>
  <c r="D44" i="2564"/>
  <c r="D45" i="2564"/>
  <c r="D46" i="2564"/>
  <c r="D47" i="2564"/>
  <c r="D48" i="2564"/>
  <c r="D49" i="2564"/>
  <c r="C33" i="2564"/>
  <c r="C34" i="2564"/>
  <c r="C35" i="2564"/>
  <c r="C36" i="2564"/>
  <c r="C37" i="2564"/>
  <c r="C38" i="2564"/>
  <c r="C39" i="2564"/>
  <c r="C40" i="2564"/>
  <c r="C41" i="2564"/>
  <c r="C42" i="2564"/>
  <c r="C43" i="2564"/>
  <c r="C44" i="2564"/>
  <c r="C45" i="2564"/>
  <c r="C46" i="2564"/>
  <c r="C47" i="2564"/>
  <c r="C48" i="2564"/>
  <c r="C49" i="2564"/>
  <c r="B49" i="2564"/>
  <c r="B48" i="2564"/>
  <c r="B47" i="2564"/>
  <c r="B46" i="2564"/>
  <c r="B45" i="2564"/>
  <c r="B44" i="2564"/>
  <c r="B43" i="2564"/>
  <c r="B42" i="2564"/>
  <c r="B41" i="2564"/>
  <c r="B40" i="2564"/>
  <c r="B39" i="2564"/>
  <c r="B38" i="2564"/>
  <c r="B37" i="2564"/>
  <c r="B36" i="2564"/>
  <c r="B35" i="2564"/>
  <c r="B34" i="2564"/>
  <c r="B33" i="2564"/>
  <c r="F12" i="2564"/>
  <c r="F13" i="2564"/>
  <c r="F14" i="2564"/>
  <c r="F15" i="2564"/>
  <c r="F16" i="2564"/>
  <c r="F17" i="2564"/>
  <c r="F18" i="2564"/>
  <c r="F19" i="2564"/>
  <c r="F20" i="2564"/>
  <c r="E12" i="2564"/>
  <c r="E13" i="2564"/>
  <c r="E14" i="2564"/>
  <c r="E15" i="2564"/>
  <c r="E16" i="2564"/>
  <c r="E17" i="2564"/>
  <c r="E18" i="2564"/>
  <c r="E19" i="2564"/>
  <c r="E20" i="2564"/>
  <c r="C13" i="2564"/>
  <c r="C14" i="2564"/>
  <c r="C15" i="2564"/>
  <c r="C16" i="2564"/>
  <c r="C17" i="2564"/>
  <c r="C18" i="2564"/>
  <c r="C19" i="2564"/>
  <c r="C20" i="2564"/>
  <c r="P25" i="2563"/>
  <c r="P26" i="2563"/>
  <c r="P27" i="2563"/>
  <c r="P28" i="2563"/>
  <c r="P29" i="2563"/>
  <c r="P30" i="2563"/>
  <c r="J25" i="2563"/>
  <c r="J26" i="2563"/>
  <c r="J27" i="2563"/>
  <c r="J28" i="2563"/>
  <c r="J29" i="2563"/>
  <c r="J30" i="2563"/>
  <c r="H25" i="2563"/>
  <c r="H26" i="2563"/>
  <c r="H27" i="2563"/>
  <c r="H28" i="2563"/>
  <c r="H29" i="2563"/>
  <c r="H30" i="2563"/>
  <c r="F25" i="2563"/>
  <c r="F26" i="2563"/>
  <c r="F27" i="2563"/>
  <c r="F28" i="2563"/>
  <c r="F29" i="2563"/>
  <c r="F30" i="2563"/>
  <c r="E25" i="2563"/>
  <c r="E26" i="2563"/>
  <c r="E27" i="2563"/>
  <c r="E28" i="2563"/>
  <c r="E29" i="2563"/>
  <c r="E30" i="2563"/>
  <c r="D25" i="2563"/>
  <c r="D26" i="2563"/>
  <c r="D27" i="2563"/>
  <c r="D28" i="2563"/>
  <c r="D29" i="2563"/>
  <c r="D30" i="2563"/>
  <c r="C26" i="2563"/>
  <c r="C27" i="2563"/>
  <c r="C28" i="2563"/>
  <c r="C29" i="2563"/>
  <c r="C30" i="2563"/>
  <c r="B30" i="2563"/>
  <c r="B29" i="2563"/>
  <c r="B28" i="2563"/>
  <c r="B27" i="2563"/>
  <c r="B26" i="2563"/>
  <c r="C13" i="2563"/>
  <c r="F34" i="2562"/>
  <c r="C13" i="2562"/>
  <c r="F46" i="2561"/>
  <c r="F47" i="2561"/>
  <c r="F48" i="2561"/>
  <c r="P28" i="2561"/>
  <c r="P29" i="2561"/>
  <c r="P30" i="2561"/>
  <c r="P31" i="2561"/>
  <c r="P32" i="2561"/>
  <c r="P33" i="2561"/>
  <c r="P34" i="2561"/>
  <c r="P35" i="2561"/>
  <c r="P36" i="2561"/>
  <c r="P37" i="2561"/>
  <c r="J28" i="2561"/>
  <c r="J29" i="2561"/>
  <c r="J30" i="2561"/>
  <c r="J31" i="2561"/>
  <c r="J32" i="2561"/>
  <c r="J33" i="2561"/>
  <c r="J34" i="2561"/>
  <c r="J35" i="2561"/>
  <c r="J36" i="2561"/>
  <c r="J37" i="2561"/>
  <c r="H28" i="2561"/>
  <c r="H29" i="2561"/>
  <c r="H30" i="2561"/>
  <c r="H31" i="2561"/>
  <c r="H32" i="2561"/>
  <c r="H33" i="2561"/>
  <c r="H34" i="2561"/>
  <c r="H35" i="2561"/>
  <c r="H36" i="2561"/>
  <c r="H37" i="2561"/>
  <c r="F28" i="2561"/>
  <c r="F29" i="2561"/>
  <c r="F30" i="2561"/>
  <c r="F31" i="2561"/>
  <c r="F32" i="2561"/>
  <c r="F33" i="2561"/>
  <c r="F34" i="2561"/>
  <c r="F35" i="2561"/>
  <c r="F36" i="2561"/>
  <c r="F37" i="2561"/>
  <c r="E28" i="2561"/>
  <c r="E29" i="2561"/>
  <c r="E30" i="2561"/>
  <c r="E31" i="2561"/>
  <c r="E32" i="2561"/>
  <c r="E33" i="2561"/>
  <c r="E34" i="2561"/>
  <c r="E35" i="2561"/>
  <c r="E36" i="2561"/>
  <c r="E37" i="2561"/>
  <c r="D28" i="2561"/>
  <c r="D29" i="2561"/>
  <c r="D30" i="2561"/>
  <c r="D31" i="2561"/>
  <c r="D32" i="2561"/>
  <c r="D33" i="2561"/>
  <c r="D34" i="2561"/>
  <c r="D35" i="2561"/>
  <c r="D36" i="2561"/>
  <c r="D37" i="2561"/>
  <c r="C29" i="2561"/>
  <c r="C30" i="2561"/>
  <c r="C31" i="2561"/>
  <c r="C32" i="2561"/>
  <c r="C33" i="2561"/>
  <c r="C34" i="2561"/>
  <c r="C35" i="2561"/>
  <c r="C36" i="2561"/>
  <c r="C37" i="2561"/>
  <c r="B37" i="2561"/>
  <c r="B36" i="2561"/>
  <c r="B35" i="2561"/>
  <c r="B34" i="2561"/>
  <c r="B33" i="2561"/>
  <c r="B32" i="2561"/>
  <c r="B31" i="2561"/>
  <c r="B30" i="2561"/>
  <c r="B29" i="2561"/>
  <c r="F12" i="2561"/>
  <c r="F13" i="2561"/>
  <c r="F14" i="2561"/>
  <c r="F15" i="2561"/>
  <c r="F16" i="2561"/>
  <c r="E12" i="2561"/>
  <c r="E13" i="2561"/>
  <c r="E14" i="2561"/>
  <c r="E15" i="2561"/>
  <c r="E16" i="2561"/>
  <c r="C13" i="2561"/>
  <c r="C14" i="2561"/>
  <c r="C15" i="2561"/>
  <c r="C16" i="2561"/>
  <c r="F36" i="2560"/>
  <c r="C26" i="2560"/>
  <c r="C27" i="2560"/>
  <c r="B26" i="2560" l="1"/>
  <c r="B27" i="2560"/>
  <c r="C13" i="2560"/>
  <c r="C26" i="2559"/>
  <c r="C27" i="2559"/>
  <c r="B26" i="2559" l="1"/>
  <c r="B27" i="2559"/>
  <c r="C13" i="2559"/>
  <c r="F37" i="2558"/>
  <c r="C27" i="2558"/>
  <c r="C28" i="2558"/>
  <c r="B27" i="2558" l="1"/>
  <c r="B28" i="2558"/>
  <c r="C13" i="2558"/>
  <c r="C14" i="2558"/>
  <c r="C27" i="2557"/>
  <c r="C28" i="2557"/>
  <c r="B27" i="2557" l="1"/>
  <c r="B28" i="2557"/>
  <c r="C13" i="2557"/>
  <c r="C14" i="2557"/>
  <c r="P24" i="2556"/>
  <c r="P25" i="2556"/>
  <c r="P26" i="2556"/>
  <c r="P27" i="2556"/>
  <c r="P28" i="2556"/>
  <c r="P29" i="2556"/>
  <c r="P30" i="2556"/>
  <c r="P31" i="2556"/>
  <c r="P32" i="2556"/>
  <c r="J24" i="2556"/>
  <c r="J25" i="2556"/>
  <c r="J26" i="2556"/>
  <c r="J27" i="2556"/>
  <c r="J28" i="2556"/>
  <c r="J29" i="2556"/>
  <c r="J30" i="2556"/>
  <c r="J31" i="2556"/>
  <c r="J32" i="2556"/>
  <c r="H24" i="2556"/>
  <c r="H25" i="2556"/>
  <c r="H26" i="2556"/>
  <c r="H27" i="2556"/>
  <c r="H28" i="2556"/>
  <c r="H29" i="2556"/>
  <c r="H30" i="2556"/>
  <c r="H31" i="2556"/>
  <c r="H32" i="2556"/>
  <c r="F24" i="2556"/>
  <c r="F25" i="2556"/>
  <c r="F26" i="2556"/>
  <c r="F27" i="2556"/>
  <c r="F28" i="2556"/>
  <c r="F29" i="2556"/>
  <c r="F30" i="2556"/>
  <c r="F31" i="2556"/>
  <c r="F32" i="2556"/>
  <c r="E24" i="2556"/>
  <c r="E25" i="2556"/>
  <c r="E26" i="2556"/>
  <c r="E27" i="2556"/>
  <c r="E28" i="2556"/>
  <c r="E29" i="2556"/>
  <c r="E30" i="2556"/>
  <c r="E31" i="2556"/>
  <c r="E32" i="2556"/>
  <c r="D24" i="2556"/>
  <c r="D25" i="2556"/>
  <c r="D26" i="2556"/>
  <c r="D27" i="2556"/>
  <c r="D28" i="2556"/>
  <c r="D29" i="2556"/>
  <c r="D30" i="2556"/>
  <c r="D31" i="2556"/>
  <c r="D32" i="2556"/>
  <c r="C25" i="2556"/>
  <c r="C26" i="2556"/>
  <c r="C27" i="2556"/>
  <c r="C28" i="2556"/>
  <c r="C29" i="2556"/>
  <c r="C30" i="2556"/>
  <c r="C31" i="2556"/>
  <c r="C32" i="2556"/>
  <c r="B32" i="2556"/>
  <c r="B31" i="2556"/>
  <c r="B30" i="2556"/>
  <c r="B29" i="2556"/>
  <c r="B28" i="2556"/>
  <c r="B27" i="2556"/>
  <c r="B26" i="2556"/>
  <c r="B25" i="2556"/>
  <c r="C25" i="2555"/>
  <c r="C26" i="2555"/>
  <c r="B25" i="2555" l="1"/>
  <c r="B26" i="2555"/>
  <c r="P25" i="2554"/>
  <c r="P26" i="2554"/>
  <c r="P27" i="2554"/>
  <c r="P28" i="2554"/>
  <c r="P29" i="2554"/>
  <c r="P30" i="2554"/>
  <c r="P31" i="2554"/>
  <c r="P32" i="2554"/>
  <c r="J25" i="2554"/>
  <c r="J26" i="2554"/>
  <c r="J27" i="2554"/>
  <c r="J28" i="2554"/>
  <c r="J29" i="2554"/>
  <c r="J30" i="2554"/>
  <c r="J31" i="2554"/>
  <c r="J32" i="2554"/>
  <c r="H25" i="2554"/>
  <c r="H26" i="2554"/>
  <c r="H27" i="2554"/>
  <c r="H28" i="2554"/>
  <c r="H29" i="2554"/>
  <c r="H30" i="2554"/>
  <c r="H31" i="2554"/>
  <c r="H32" i="2554"/>
  <c r="F25" i="2554"/>
  <c r="F26" i="2554"/>
  <c r="F27" i="2554"/>
  <c r="F28" i="2554"/>
  <c r="F29" i="2554"/>
  <c r="F30" i="2554"/>
  <c r="F31" i="2554"/>
  <c r="F32" i="2554"/>
  <c r="E25" i="2554"/>
  <c r="E26" i="2554"/>
  <c r="E27" i="2554"/>
  <c r="E28" i="2554"/>
  <c r="E29" i="2554"/>
  <c r="E30" i="2554"/>
  <c r="E31" i="2554"/>
  <c r="E32" i="2554"/>
  <c r="D25" i="2554"/>
  <c r="D26" i="2554"/>
  <c r="D27" i="2554"/>
  <c r="D28" i="2554"/>
  <c r="D29" i="2554"/>
  <c r="D30" i="2554"/>
  <c r="D31" i="2554"/>
  <c r="D32" i="2554"/>
  <c r="C26" i="2554"/>
  <c r="C27" i="2554"/>
  <c r="C28" i="2554"/>
  <c r="C29" i="2554"/>
  <c r="C30" i="2554"/>
  <c r="C31" i="2554"/>
  <c r="C32" i="2554"/>
  <c r="B32" i="2554"/>
  <c r="B31" i="2554"/>
  <c r="B30" i="2554"/>
  <c r="B29" i="2554"/>
  <c r="B28" i="2554"/>
  <c r="B27" i="2554"/>
  <c r="B26" i="2554"/>
  <c r="C13" i="2554"/>
  <c r="C26" i="2553"/>
  <c r="C27" i="2553"/>
  <c r="C28" i="2553"/>
  <c r="B26" i="2553" l="1"/>
  <c r="B27" i="2553"/>
  <c r="B28" i="2553"/>
  <c r="C13" i="2553"/>
  <c r="F49" i="2552"/>
  <c r="F50" i="2552"/>
  <c r="F51" i="2552"/>
  <c r="F52" i="2552"/>
  <c r="F53" i="2552"/>
  <c r="F54" i="2552"/>
  <c r="P35" i="2552"/>
  <c r="P36" i="2552"/>
  <c r="P37" i="2552"/>
  <c r="P38" i="2552"/>
  <c r="P39" i="2552"/>
  <c r="P40" i="2552"/>
  <c r="J35" i="2552"/>
  <c r="J36" i="2552"/>
  <c r="J37" i="2552"/>
  <c r="J38" i="2552"/>
  <c r="J39" i="2552"/>
  <c r="J40" i="2552"/>
  <c r="H35" i="2552"/>
  <c r="H36" i="2552"/>
  <c r="H37" i="2552"/>
  <c r="H38" i="2552"/>
  <c r="H39" i="2552"/>
  <c r="H40" i="2552"/>
  <c r="F35" i="2552"/>
  <c r="F36" i="2552"/>
  <c r="F37" i="2552"/>
  <c r="F38" i="2552"/>
  <c r="F39" i="2552"/>
  <c r="F40" i="2552"/>
  <c r="E35" i="2552"/>
  <c r="E36" i="2552"/>
  <c r="E37" i="2552"/>
  <c r="E38" i="2552"/>
  <c r="E39" i="2552"/>
  <c r="E40" i="2552"/>
  <c r="D35" i="2552"/>
  <c r="D36" i="2552"/>
  <c r="D37" i="2552"/>
  <c r="D38" i="2552"/>
  <c r="D39" i="2552"/>
  <c r="D40" i="2552"/>
  <c r="C36" i="2552"/>
  <c r="C37" i="2552"/>
  <c r="C38" i="2552"/>
  <c r="C39" i="2552"/>
  <c r="C40" i="2552"/>
  <c r="B40" i="2552"/>
  <c r="B39" i="2552"/>
  <c r="B38" i="2552"/>
  <c r="B37" i="2552"/>
  <c r="B36" i="2552"/>
  <c r="F12" i="2552"/>
  <c r="F13" i="2552"/>
  <c r="F14" i="2552"/>
  <c r="F15" i="2552"/>
  <c r="F16" i="2552"/>
  <c r="F17" i="2552"/>
  <c r="F18" i="2552"/>
  <c r="F19" i="2552"/>
  <c r="F20" i="2552"/>
  <c r="F21" i="2552"/>
  <c r="F22" i="2552"/>
  <c r="F23" i="2552"/>
  <c r="E12" i="2552"/>
  <c r="E13" i="2552"/>
  <c r="E14" i="2552"/>
  <c r="E15" i="2552"/>
  <c r="E16" i="2552"/>
  <c r="E17" i="2552"/>
  <c r="E18" i="2552"/>
  <c r="E19" i="2552"/>
  <c r="E20" i="2552"/>
  <c r="E21" i="2552"/>
  <c r="E22" i="2552"/>
  <c r="E23" i="2552"/>
  <c r="C13" i="2552"/>
  <c r="C14" i="2552"/>
  <c r="C15" i="2552"/>
  <c r="C16" i="2552"/>
  <c r="C17" i="2552"/>
  <c r="C18" i="2552"/>
  <c r="C19" i="2552"/>
  <c r="C20" i="2552"/>
  <c r="C21" i="2552"/>
  <c r="C22" i="2552"/>
  <c r="C23" i="2552"/>
  <c r="P25" i="2551"/>
  <c r="P26" i="2551"/>
  <c r="P27" i="2551"/>
  <c r="P28" i="2551"/>
  <c r="P29" i="2551"/>
  <c r="J25" i="2551"/>
  <c r="J26" i="2551"/>
  <c r="J27" i="2551"/>
  <c r="J28" i="2551"/>
  <c r="J29" i="2551"/>
  <c r="H25" i="2551"/>
  <c r="H26" i="2551"/>
  <c r="H27" i="2551"/>
  <c r="H28" i="2551"/>
  <c r="H29" i="2551"/>
  <c r="F25" i="2551"/>
  <c r="F26" i="2551"/>
  <c r="F27" i="2551"/>
  <c r="F28" i="2551"/>
  <c r="F29" i="2551"/>
  <c r="E25" i="2551"/>
  <c r="E26" i="2551"/>
  <c r="E27" i="2551"/>
  <c r="E28" i="2551"/>
  <c r="E29" i="2551"/>
  <c r="D25" i="2551"/>
  <c r="D26" i="2551"/>
  <c r="D27" i="2551"/>
  <c r="D28" i="2551"/>
  <c r="D29" i="2551"/>
  <c r="C26" i="2551"/>
  <c r="C27" i="2551"/>
  <c r="C28" i="2551"/>
  <c r="C29" i="2551"/>
  <c r="B29" i="2551"/>
  <c r="B28" i="2551"/>
  <c r="B27" i="2551"/>
  <c r="B26" i="2551"/>
  <c r="C13" i="2551"/>
  <c r="F41" i="2550"/>
  <c r="P28" i="2550"/>
  <c r="P29" i="2550"/>
  <c r="P30" i="2550"/>
  <c r="P31" i="2550"/>
  <c r="P32" i="2550"/>
  <c r="J28" i="2550"/>
  <c r="J29" i="2550"/>
  <c r="J30" i="2550"/>
  <c r="J31" i="2550"/>
  <c r="J32" i="2550"/>
  <c r="H28" i="2550"/>
  <c r="H29" i="2550"/>
  <c r="H30" i="2550"/>
  <c r="H31" i="2550"/>
  <c r="H32" i="2550"/>
  <c r="F28" i="2550"/>
  <c r="F29" i="2550"/>
  <c r="F30" i="2550"/>
  <c r="F31" i="2550"/>
  <c r="F32" i="2550"/>
  <c r="E28" i="2550"/>
  <c r="E29" i="2550"/>
  <c r="E30" i="2550"/>
  <c r="E31" i="2550"/>
  <c r="E32" i="2550"/>
  <c r="D28" i="2550"/>
  <c r="D29" i="2550"/>
  <c r="D30" i="2550"/>
  <c r="D31" i="2550"/>
  <c r="D32" i="2550"/>
  <c r="C29" i="2550"/>
  <c r="C30" i="2550"/>
  <c r="C31" i="2550"/>
  <c r="C32" i="2550"/>
  <c r="B32" i="2550"/>
  <c r="B31" i="2550"/>
  <c r="B30" i="2550"/>
  <c r="B29" i="2550"/>
  <c r="F12" i="2550"/>
  <c r="F13" i="2550"/>
  <c r="F14" i="2550"/>
  <c r="F15" i="2550"/>
  <c r="F16" i="2550"/>
  <c r="E12" i="2550"/>
  <c r="E13" i="2550"/>
  <c r="E14" i="2550"/>
  <c r="E15" i="2550"/>
  <c r="E16" i="2550"/>
  <c r="C13" i="2550"/>
  <c r="C14" i="2550"/>
  <c r="C15" i="2550"/>
  <c r="C16" i="2550"/>
  <c r="P25" i="2549"/>
  <c r="P26" i="2549"/>
  <c r="P27" i="2549"/>
  <c r="P28" i="2549"/>
  <c r="P29" i="2549"/>
  <c r="P30" i="2549"/>
  <c r="P31" i="2549"/>
  <c r="J25" i="2549"/>
  <c r="J26" i="2549"/>
  <c r="J27" i="2549"/>
  <c r="J28" i="2549"/>
  <c r="J29" i="2549"/>
  <c r="J30" i="2549"/>
  <c r="J31" i="2549"/>
  <c r="H25" i="2549"/>
  <c r="H26" i="2549"/>
  <c r="H27" i="2549"/>
  <c r="H28" i="2549"/>
  <c r="H29" i="2549"/>
  <c r="H30" i="2549"/>
  <c r="H31" i="2549"/>
  <c r="F25" i="2549"/>
  <c r="F26" i="2549"/>
  <c r="F27" i="2549"/>
  <c r="F28" i="2549"/>
  <c r="F29" i="2549"/>
  <c r="F30" i="2549"/>
  <c r="F31" i="2549"/>
  <c r="E25" i="2549"/>
  <c r="E26" i="2549"/>
  <c r="E27" i="2549"/>
  <c r="E28" i="2549"/>
  <c r="E29" i="2549"/>
  <c r="E30" i="2549"/>
  <c r="E31" i="2549"/>
  <c r="D25" i="2549"/>
  <c r="D26" i="2549"/>
  <c r="D27" i="2549"/>
  <c r="D28" i="2549"/>
  <c r="D29" i="2549"/>
  <c r="D30" i="2549"/>
  <c r="D31" i="2549"/>
  <c r="C26" i="2549"/>
  <c r="C27" i="2549"/>
  <c r="C28" i="2549"/>
  <c r="C29" i="2549"/>
  <c r="C30" i="2549"/>
  <c r="C31" i="2549"/>
  <c r="B31" i="2549"/>
  <c r="B30" i="2549"/>
  <c r="B29" i="2549"/>
  <c r="B28" i="2549"/>
  <c r="B27" i="2549"/>
  <c r="B26" i="2549"/>
  <c r="C13" i="2549"/>
  <c r="C26" i="2548"/>
  <c r="C27" i="2548"/>
  <c r="C28" i="2548"/>
  <c r="B26" i="2548" l="1"/>
  <c r="B27" i="2548"/>
  <c r="B28" i="2548"/>
  <c r="C13" i="2548"/>
  <c r="F49" i="2547"/>
  <c r="F50" i="2547"/>
  <c r="F51" i="2547"/>
  <c r="F52" i="2547"/>
  <c r="P30" i="2547"/>
  <c r="P31" i="2547"/>
  <c r="P32" i="2547"/>
  <c r="P33" i="2547"/>
  <c r="P34" i="2547"/>
  <c r="P35" i="2547"/>
  <c r="P36" i="2547"/>
  <c r="P37" i="2547"/>
  <c r="P38" i="2547"/>
  <c r="P39" i="2547"/>
  <c r="P40" i="2547"/>
  <c r="J30" i="2547"/>
  <c r="J31" i="2547"/>
  <c r="J32" i="2547"/>
  <c r="J33" i="2547"/>
  <c r="J34" i="2547"/>
  <c r="J35" i="2547"/>
  <c r="J36" i="2547"/>
  <c r="J37" i="2547"/>
  <c r="J38" i="2547"/>
  <c r="J39" i="2547"/>
  <c r="J40" i="2547"/>
  <c r="H30" i="2547"/>
  <c r="H31" i="2547"/>
  <c r="H32" i="2547"/>
  <c r="H33" i="2547"/>
  <c r="H34" i="2547"/>
  <c r="H35" i="2547"/>
  <c r="H36" i="2547"/>
  <c r="H37" i="2547"/>
  <c r="H38" i="2547"/>
  <c r="H39" i="2547"/>
  <c r="H40" i="2547"/>
  <c r="F30" i="2547"/>
  <c r="F31" i="2547"/>
  <c r="F32" i="2547"/>
  <c r="F33" i="2547"/>
  <c r="F34" i="2547"/>
  <c r="F35" i="2547"/>
  <c r="F36" i="2547"/>
  <c r="F37" i="2547"/>
  <c r="F38" i="2547"/>
  <c r="F39" i="2547"/>
  <c r="F40" i="2547"/>
  <c r="E30" i="2547"/>
  <c r="E31" i="2547"/>
  <c r="E32" i="2547"/>
  <c r="E33" i="2547"/>
  <c r="E34" i="2547"/>
  <c r="E35" i="2547"/>
  <c r="E36" i="2547"/>
  <c r="E37" i="2547"/>
  <c r="E38" i="2547"/>
  <c r="E39" i="2547"/>
  <c r="E40" i="2547"/>
  <c r="D30" i="2547"/>
  <c r="D31" i="2547"/>
  <c r="D32" i="2547"/>
  <c r="D33" i="2547"/>
  <c r="D34" i="2547"/>
  <c r="D35" i="2547"/>
  <c r="D36" i="2547"/>
  <c r="D37" i="2547"/>
  <c r="D38" i="2547"/>
  <c r="D39" i="2547"/>
  <c r="D40" i="2547"/>
  <c r="C31" i="2547"/>
  <c r="C32" i="2547"/>
  <c r="C33" i="2547"/>
  <c r="C34" i="2547"/>
  <c r="C35" i="2547"/>
  <c r="C36" i="2547"/>
  <c r="C37" i="2547"/>
  <c r="C38" i="2547"/>
  <c r="C39" i="2547"/>
  <c r="C40" i="2547"/>
  <c r="B40" i="2547"/>
  <c r="B39" i="2547"/>
  <c r="B38" i="2547"/>
  <c r="B37" i="2547"/>
  <c r="B36" i="2547"/>
  <c r="B35" i="2547"/>
  <c r="B34" i="2547"/>
  <c r="B33" i="2547"/>
  <c r="B32" i="2547"/>
  <c r="B31" i="2547"/>
  <c r="F12" i="2547"/>
  <c r="F13" i="2547"/>
  <c r="F14" i="2547"/>
  <c r="F15" i="2547"/>
  <c r="F16" i="2547"/>
  <c r="F17" i="2547"/>
  <c r="F18" i="2547"/>
  <c r="E12" i="2547"/>
  <c r="E13" i="2547"/>
  <c r="E14" i="2547"/>
  <c r="E15" i="2547"/>
  <c r="E16" i="2547"/>
  <c r="E17" i="2547"/>
  <c r="E18" i="2547"/>
  <c r="C13" i="2547"/>
  <c r="C14" i="2547"/>
  <c r="C15" i="2547"/>
  <c r="C16" i="2547"/>
  <c r="C17" i="2547"/>
  <c r="C18" i="2547"/>
  <c r="F44" i="2546"/>
  <c r="P25" i="2546"/>
  <c r="P26" i="2546"/>
  <c r="P27" i="2546"/>
  <c r="P28" i="2546"/>
  <c r="P29" i="2546"/>
  <c r="P30" i="2546"/>
  <c r="P31" i="2546"/>
  <c r="P32" i="2546"/>
  <c r="P33" i="2546"/>
  <c r="P34" i="2546"/>
  <c r="P35" i="2546"/>
  <c r="J25" i="2546"/>
  <c r="J26" i="2546"/>
  <c r="J27" i="2546"/>
  <c r="J28" i="2546"/>
  <c r="J29" i="2546"/>
  <c r="J30" i="2546"/>
  <c r="J31" i="2546"/>
  <c r="J32" i="2546"/>
  <c r="J33" i="2546"/>
  <c r="J34" i="2546"/>
  <c r="J35" i="2546"/>
  <c r="H25" i="2546"/>
  <c r="H26" i="2546"/>
  <c r="H27" i="2546"/>
  <c r="H28" i="2546"/>
  <c r="H29" i="2546"/>
  <c r="H30" i="2546"/>
  <c r="H31" i="2546"/>
  <c r="H32" i="2546"/>
  <c r="H33" i="2546"/>
  <c r="H34" i="2546"/>
  <c r="H35" i="2546"/>
  <c r="F25" i="2546"/>
  <c r="F26" i="2546"/>
  <c r="F27" i="2546"/>
  <c r="F28" i="2546"/>
  <c r="F29" i="2546"/>
  <c r="F30" i="2546"/>
  <c r="F31" i="2546"/>
  <c r="F32" i="2546"/>
  <c r="F33" i="2546"/>
  <c r="F34" i="2546"/>
  <c r="F35" i="2546"/>
  <c r="E25" i="2546"/>
  <c r="E26" i="2546"/>
  <c r="E27" i="2546"/>
  <c r="E28" i="2546"/>
  <c r="E29" i="2546"/>
  <c r="E30" i="2546"/>
  <c r="E31" i="2546"/>
  <c r="E32" i="2546"/>
  <c r="E33" i="2546"/>
  <c r="E34" i="2546"/>
  <c r="E35" i="2546"/>
  <c r="D25" i="2546"/>
  <c r="D26" i="2546"/>
  <c r="D27" i="2546"/>
  <c r="D28" i="2546"/>
  <c r="D29" i="2546"/>
  <c r="D30" i="2546"/>
  <c r="D31" i="2546"/>
  <c r="D32" i="2546"/>
  <c r="D33" i="2546"/>
  <c r="D34" i="2546"/>
  <c r="D35" i="2546"/>
  <c r="C26" i="2546"/>
  <c r="C27" i="2546"/>
  <c r="C28" i="2546"/>
  <c r="C29" i="2546"/>
  <c r="C30" i="2546"/>
  <c r="C31" i="2546"/>
  <c r="C32" i="2546"/>
  <c r="C33" i="2546"/>
  <c r="C34" i="2546"/>
  <c r="C35" i="2546"/>
  <c r="B35" i="2546"/>
  <c r="B34" i="2546"/>
  <c r="B33" i="2546"/>
  <c r="B32" i="2546"/>
  <c r="B31" i="2546"/>
  <c r="B30" i="2546"/>
  <c r="B29" i="2546"/>
  <c r="B28" i="2546"/>
  <c r="B27" i="2546"/>
  <c r="B26" i="2546"/>
  <c r="C13" i="2546"/>
  <c r="F45" i="2545"/>
  <c r="F46" i="2545"/>
  <c r="P28" i="2545"/>
  <c r="P29" i="2545"/>
  <c r="P30" i="2545"/>
  <c r="P31" i="2545"/>
  <c r="P32" i="2545"/>
  <c r="P33" i="2545"/>
  <c r="P34" i="2545"/>
  <c r="P35" i="2545"/>
  <c r="P36" i="2545"/>
  <c r="J28" i="2545"/>
  <c r="J29" i="2545"/>
  <c r="J30" i="2545"/>
  <c r="J31" i="2545"/>
  <c r="J32" i="2545"/>
  <c r="J33" i="2545"/>
  <c r="J34" i="2545"/>
  <c r="J35" i="2545"/>
  <c r="J36" i="2545"/>
  <c r="H28" i="2545"/>
  <c r="H29" i="2545"/>
  <c r="H30" i="2545"/>
  <c r="H31" i="2545"/>
  <c r="H32" i="2545"/>
  <c r="H33" i="2545"/>
  <c r="H34" i="2545"/>
  <c r="H35" i="2545"/>
  <c r="H36" i="2545"/>
  <c r="F28" i="2545"/>
  <c r="F29" i="2545"/>
  <c r="F30" i="2545"/>
  <c r="F31" i="2545"/>
  <c r="F32" i="2545"/>
  <c r="F33" i="2545"/>
  <c r="F34" i="2545"/>
  <c r="F35" i="2545"/>
  <c r="F36" i="2545"/>
  <c r="E28" i="2545"/>
  <c r="E29" i="2545"/>
  <c r="E30" i="2545"/>
  <c r="E31" i="2545"/>
  <c r="E32" i="2545"/>
  <c r="E33" i="2545"/>
  <c r="E34" i="2545"/>
  <c r="E35" i="2545"/>
  <c r="E36" i="2545"/>
  <c r="D28" i="2545"/>
  <c r="D29" i="2545"/>
  <c r="D30" i="2545"/>
  <c r="D31" i="2545"/>
  <c r="D32" i="2545"/>
  <c r="D33" i="2545"/>
  <c r="D34" i="2545"/>
  <c r="D35" i="2545"/>
  <c r="D36" i="2545"/>
  <c r="C29" i="2545"/>
  <c r="C30" i="2545"/>
  <c r="C31" i="2545"/>
  <c r="C32" i="2545"/>
  <c r="C33" i="2545"/>
  <c r="C34" i="2545"/>
  <c r="C35" i="2545"/>
  <c r="C36" i="2545"/>
  <c r="B36" i="2545"/>
  <c r="B35" i="2545"/>
  <c r="B34" i="2545"/>
  <c r="B33" i="2545"/>
  <c r="B32" i="2545"/>
  <c r="B31" i="2545"/>
  <c r="B30" i="2545"/>
  <c r="B29" i="2545"/>
  <c r="F12" i="2545"/>
  <c r="F13" i="2545"/>
  <c r="F14" i="2545"/>
  <c r="F15" i="2545"/>
  <c r="F16" i="2545"/>
  <c r="E12" i="2545"/>
  <c r="E13" i="2545"/>
  <c r="E14" i="2545"/>
  <c r="E15" i="2545"/>
  <c r="E16" i="2545"/>
  <c r="C13" i="2545"/>
  <c r="C14" i="2545"/>
  <c r="C15" i="2545"/>
  <c r="C16" i="2545"/>
  <c r="P25" i="2544"/>
  <c r="P26" i="2544"/>
  <c r="P27" i="2544"/>
  <c r="P28" i="2544"/>
  <c r="P29" i="2544"/>
  <c r="P30" i="2544"/>
  <c r="P31" i="2544"/>
  <c r="J25" i="2544"/>
  <c r="J26" i="2544"/>
  <c r="J27" i="2544"/>
  <c r="J28" i="2544"/>
  <c r="J29" i="2544"/>
  <c r="J30" i="2544"/>
  <c r="J31" i="2544"/>
  <c r="H25" i="2544"/>
  <c r="H26" i="2544"/>
  <c r="H27" i="2544"/>
  <c r="H28" i="2544"/>
  <c r="H29" i="2544"/>
  <c r="H30" i="2544"/>
  <c r="H31" i="2544"/>
  <c r="F25" i="2544"/>
  <c r="F26" i="2544"/>
  <c r="F27" i="2544"/>
  <c r="F28" i="2544"/>
  <c r="F29" i="2544"/>
  <c r="F30" i="2544"/>
  <c r="F31" i="2544"/>
  <c r="E25" i="2544"/>
  <c r="E26" i="2544"/>
  <c r="E27" i="2544"/>
  <c r="E28" i="2544"/>
  <c r="E29" i="2544"/>
  <c r="E30" i="2544"/>
  <c r="E31" i="2544"/>
  <c r="D25" i="2544"/>
  <c r="D26" i="2544"/>
  <c r="D27" i="2544"/>
  <c r="D28" i="2544"/>
  <c r="D29" i="2544"/>
  <c r="D30" i="2544"/>
  <c r="D31" i="2544"/>
  <c r="C26" i="2544"/>
  <c r="C27" i="2544"/>
  <c r="C28" i="2544"/>
  <c r="C29" i="2544"/>
  <c r="C30" i="2544"/>
  <c r="C31" i="2544"/>
  <c r="B31" i="2544"/>
  <c r="B30" i="2544"/>
  <c r="B29" i="2544"/>
  <c r="B28" i="2544"/>
  <c r="B27" i="2544"/>
  <c r="B26" i="2544"/>
  <c r="C13" i="2544"/>
  <c r="P26" i="2543"/>
  <c r="P27" i="2543"/>
  <c r="P28" i="2543"/>
  <c r="P29" i="2543"/>
  <c r="P30" i="2543"/>
  <c r="P31" i="2543"/>
  <c r="J26" i="2543"/>
  <c r="J27" i="2543"/>
  <c r="J28" i="2543"/>
  <c r="J29" i="2543"/>
  <c r="J30" i="2543"/>
  <c r="J31" i="2543"/>
  <c r="H26" i="2543"/>
  <c r="H27" i="2543"/>
  <c r="H28" i="2543"/>
  <c r="H29" i="2543"/>
  <c r="H30" i="2543"/>
  <c r="H31" i="2543"/>
  <c r="F26" i="2543"/>
  <c r="F27" i="2543"/>
  <c r="F28" i="2543"/>
  <c r="F29" i="2543"/>
  <c r="F30" i="2543"/>
  <c r="F31" i="2543"/>
  <c r="E26" i="2543"/>
  <c r="E27" i="2543"/>
  <c r="E28" i="2543"/>
  <c r="E29" i="2543"/>
  <c r="E30" i="2543"/>
  <c r="E31" i="2543"/>
  <c r="D26" i="2543"/>
  <c r="D27" i="2543"/>
  <c r="D28" i="2543"/>
  <c r="D29" i="2543"/>
  <c r="D30" i="2543"/>
  <c r="D31" i="2543"/>
  <c r="C27" i="2543"/>
  <c r="C28" i="2543"/>
  <c r="C29" i="2543"/>
  <c r="C30" i="2543"/>
  <c r="C31" i="2543"/>
  <c r="B31" i="2543"/>
  <c r="B30" i="2543"/>
  <c r="B29" i="2543"/>
  <c r="B28" i="2543"/>
  <c r="B27" i="2543"/>
  <c r="C13" i="2543"/>
  <c r="C14" i="2543"/>
  <c r="C25" i="3"/>
  <c r="B25" i="3" l="1"/>
  <c r="H29" i="1089"/>
  <c r="H30" i="1089"/>
  <c r="H31" i="1089"/>
  <c r="H32" i="1089"/>
  <c r="H33" i="1089"/>
  <c r="H34" i="1089"/>
  <c r="H35" i="1089"/>
  <c r="H36" i="1089"/>
  <c r="H37" i="1089"/>
  <c r="H38" i="1089"/>
  <c r="H39" i="1089"/>
  <c r="H40" i="1089"/>
  <c r="H41" i="1089"/>
  <c r="H42" i="1089"/>
  <c r="G42" i="1089"/>
  <c r="G41" i="1089"/>
  <c r="G40" i="1089"/>
  <c r="G39" i="1089"/>
  <c r="G38" i="1089"/>
  <c r="G37" i="1089"/>
  <c r="G36" i="1089"/>
  <c r="G35" i="1089"/>
  <c r="G34" i="1089"/>
  <c r="G33" i="1089"/>
  <c r="G32" i="1089"/>
  <c r="G31" i="1089"/>
  <c r="G30" i="1089"/>
  <c r="G29" i="1089"/>
  <c r="B29" i="1089" l="1"/>
  <c r="B30" i="1089"/>
  <c r="X29" i="1089"/>
  <c r="X30" i="1089"/>
  <c r="B31" i="1089"/>
  <c r="B32" i="1089"/>
  <c r="B33" i="1089"/>
  <c r="B34" i="1089"/>
  <c r="B35" i="1089"/>
  <c r="B36" i="1089"/>
  <c r="B37" i="1089"/>
  <c r="B38" i="1089"/>
  <c r="B39" i="1089"/>
  <c r="B40" i="1089"/>
  <c r="B41" i="1089"/>
  <c r="B42" i="1089"/>
  <c r="X31" i="1089"/>
  <c r="X32" i="1089"/>
  <c r="X33" i="1089"/>
  <c r="X34" i="1089"/>
  <c r="X35" i="1089"/>
  <c r="X36" i="1089"/>
  <c r="X37" i="1089"/>
  <c r="X38" i="1089"/>
  <c r="X39" i="1089"/>
  <c r="X40" i="1089"/>
  <c r="X41" i="1089"/>
  <c r="X42" i="1089"/>
  <c r="H16" i="1089"/>
  <c r="H17" i="1089"/>
  <c r="H18" i="1089"/>
  <c r="G18" i="1089"/>
  <c r="G17" i="1089"/>
  <c r="G16" i="1089"/>
  <c r="B16" i="1089" l="1"/>
  <c r="B17" i="1089"/>
  <c r="B18" i="1089"/>
  <c r="X16" i="1089"/>
  <c r="X17" i="1089"/>
  <c r="X18" i="1089"/>
  <c r="H12" i="1089"/>
  <c r="H13" i="1089"/>
  <c r="G13" i="1089"/>
  <c r="G12" i="1089"/>
  <c r="B12" i="1089" l="1"/>
  <c r="B13" i="1089"/>
  <c r="X12" i="1089"/>
  <c r="X13" i="1089"/>
  <c r="F14" i="1089"/>
  <c r="F19" i="1089"/>
  <c r="F21" i="1089"/>
  <c r="F23" i="1089"/>
  <c r="E23" i="1089"/>
  <c r="E24" i="1089" s="1"/>
  <c r="E21" i="1089"/>
  <c r="E22" i="1089" s="1"/>
  <c r="E19" i="1089"/>
  <c r="E20" i="1089" s="1"/>
  <c r="E14" i="1089"/>
  <c r="E15" i="1089" s="1"/>
  <c r="H29" i="1088"/>
  <c r="H30" i="1088"/>
  <c r="H31" i="1088"/>
  <c r="H32" i="1088"/>
  <c r="H33" i="1088"/>
  <c r="H34" i="1088"/>
  <c r="H35" i="1088"/>
  <c r="H36" i="1088"/>
  <c r="H37" i="1088"/>
  <c r="H38" i="1088"/>
  <c r="H39" i="1088"/>
  <c r="H40" i="1088"/>
  <c r="H41" i="1088"/>
  <c r="H42" i="1088"/>
  <c r="G42" i="1088"/>
  <c r="G41" i="1088"/>
  <c r="G40" i="1088"/>
  <c r="G39" i="1088"/>
  <c r="G38" i="1088"/>
  <c r="G37" i="1088"/>
  <c r="G36" i="1088"/>
  <c r="G35" i="1088"/>
  <c r="G34" i="1088"/>
  <c r="G33" i="1088"/>
  <c r="G32" i="1088"/>
  <c r="G31" i="1088"/>
  <c r="G30" i="1088"/>
  <c r="G29" i="1088"/>
  <c r="E16" i="1089" l="1"/>
  <c r="E17" i="1089" s="1"/>
  <c r="E18" i="1089" s="1"/>
  <c r="B29" i="1088"/>
  <c r="B30" i="1088"/>
  <c r="Z29" i="1088"/>
  <c r="Z30" i="1088"/>
  <c r="B31" i="1088"/>
  <c r="B32" i="1088"/>
  <c r="B33" i="1088"/>
  <c r="B34" i="1088"/>
  <c r="B35" i="1088"/>
  <c r="B36" i="1088"/>
  <c r="B37" i="1088"/>
  <c r="B38" i="1088"/>
  <c r="B39" i="1088"/>
  <c r="B40" i="1088"/>
  <c r="B41" i="1088"/>
  <c r="B42" i="1088"/>
  <c r="Z31" i="1088"/>
  <c r="Z32" i="1088"/>
  <c r="Z33" i="1088"/>
  <c r="Z34" i="1088"/>
  <c r="Z35" i="1088"/>
  <c r="Z36" i="1088"/>
  <c r="Z37" i="1088"/>
  <c r="Z38" i="1088"/>
  <c r="Z39" i="1088"/>
  <c r="Z40" i="1088"/>
  <c r="Z41" i="1088"/>
  <c r="Z42" i="1088"/>
  <c r="H16" i="1088"/>
  <c r="H17" i="1088"/>
  <c r="H18" i="1088"/>
  <c r="G18" i="1088"/>
  <c r="G17" i="1088"/>
  <c r="G16" i="1088"/>
  <c r="B16" i="1088" l="1"/>
  <c r="B17" i="1088"/>
  <c r="B18" i="1088"/>
  <c r="Z16" i="1088"/>
  <c r="Z17" i="1088"/>
  <c r="Z18" i="1088"/>
  <c r="H12" i="1088"/>
  <c r="H13" i="1088"/>
  <c r="G13" i="1088"/>
  <c r="G12" i="1088"/>
  <c r="B12" i="1088" l="1"/>
  <c r="B13" i="1088"/>
  <c r="Z12" i="1088"/>
  <c r="Z13" i="1088"/>
  <c r="F14" i="1088"/>
  <c r="F19" i="1088"/>
  <c r="F21" i="1088"/>
  <c r="F23" i="1088"/>
  <c r="E23" i="1088"/>
  <c r="E24" i="1088" s="1"/>
  <c r="E21" i="1088"/>
  <c r="E22" i="1088" s="1"/>
  <c r="E19" i="1088"/>
  <c r="E20" i="1088" s="1"/>
  <c r="E14" i="1088"/>
  <c r="E15" i="1088" s="1"/>
  <c r="E16" i="1088" l="1"/>
  <c r="E17" i="1088" s="1"/>
  <c r="E18" i="1088" s="1"/>
  <c r="C4" i="2633"/>
  <c r="F4" i="2633"/>
  <c r="W6" i="2633"/>
  <c r="F37" i="2633"/>
  <c r="F45" i="2633" l="1"/>
  <c r="D36" i="2633"/>
  <c r="F38" i="2633"/>
  <c r="C4" i="2632"/>
  <c r="F4" i="2632"/>
  <c r="W6" i="2632"/>
  <c r="F30" i="2632"/>
  <c r="F35" i="2632" l="1"/>
  <c r="D29" i="2632"/>
  <c r="D38" i="2632"/>
  <c r="F31" i="2632"/>
  <c r="D48" i="2633"/>
  <c r="C4" i="2631"/>
  <c r="F4" i="2631"/>
  <c r="W6" i="2631"/>
  <c r="F30" i="2631"/>
  <c r="F36" i="2631" l="1"/>
  <c r="D29" i="2631"/>
  <c r="D39" i="2631"/>
  <c r="F31" i="2631"/>
  <c r="C4" i="2630"/>
  <c r="F4" i="2630"/>
  <c r="W6" i="2630"/>
  <c r="F33" i="2630"/>
  <c r="F41" i="2630" l="1"/>
  <c r="D32" i="2630"/>
  <c r="F34" i="2630"/>
  <c r="C4" i="2629"/>
  <c r="F4" i="2629"/>
  <c r="W6" i="2629"/>
  <c r="F30" i="2629"/>
  <c r="F36" i="2629" l="1"/>
  <c r="D29" i="2629"/>
  <c r="F31" i="2629"/>
  <c r="D44" i="2630"/>
  <c r="C4" i="2628"/>
  <c r="F4" i="2628"/>
  <c r="W6" i="2628"/>
  <c r="F30" i="2628"/>
  <c r="F35" i="2628" l="1"/>
  <c r="D29" i="2628"/>
  <c r="D38" i="2628"/>
  <c r="F31" i="2628"/>
  <c r="D39" i="2629"/>
  <c r="C4" i="2627"/>
  <c r="F4" i="2627"/>
  <c r="W6" i="2627"/>
  <c r="F31" i="2627"/>
  <c r="F37" i="2627" l="1"/>
  <c r="D30" i="2627"/>
  <c r="F32" i="2627"/>
  <c r="C4" i="2626"/>
  <c r="F4" i="2626"/>
  <c r="W6" i="2626"/>
  <c r="F31" i="2626"/>
  <c r="F36" i="2626" l="1"/>
  <c r="D30" i="2626"/>
  <c r="D39" i="2626"/>
  <c r="F32" i="2626"/>
  <c r="D40" i="2627"/>
  <c r="C4" i="2625"/>
  <c r="F4" i="2625"/>
  <c r="W6" i="2625"/>
  <c r="F29" i="2625"/>
  <c r="F34" i="2625" l="1"/>
  <c r="D28" i="2625"/>
  <c r="D37" i="2625"/>
  <c r="F30" i="2625"/>
  <c r="C4" i="2624"/>
  <c r="F4" i="2624"/>
  <c r="W6" i="2624"/>
  <c r="F29" i="2624"/>
  <c r="F34" i="2624" l="1"/>
  <c r="D28" i="2624"/>
  <c r="F30" i="2624"/>
  <c r="C4" i="2623"/>
  <c r="F4" i="2623"/>
  <c r="W6" i="2623"/>
  <c r="F30" i="2623"/>
  <c r="F35" i="2623" l="1"/>
  <c r="D29" i="2623"/>
  <c r="F31" i="2623"/>
  <c r="D37" i="2624"/>
  <c r="C4" i="2622"/>
  <c r="F4" i="2622"/>
  <c r="W6" i="2622"/>
  <c r="F30" i="2622"/>
  <c r="F35" i="2622" l="1"/>
  <c r="D29" i="2622"/>
  <c r="D38" i="2622"/>
  <c r="F31" i="2622"/>
  <c r="D38" i="2623"/>
  <c r="C4" i="2621"/>
  <c r="F4" i="2621"/>
  <c r="W6" i="2621"/>
  <c r="F40" i="2621"/>
  <c r="F51" i="2621" l="1"/>
  <c r="D39" i="2621"/>
  <c r="D54" i="2621"/>
  <c r="F41" i="2621"/>
  <c r="C4" i="2620"/>
  <c r="F4" i="2620"/>
  <c r="W6" i="2620"/>
  <c r="F30" i="2620"/>
  <c r="F35" i="2620" l="1"/>
  <c r="D29" i="2620"/>
  <c r="F31" i="2620"/>
  <c r="C4" i="2619"/>
  <c r="F4" i="2619"/>
  <c r="W6" i="2619"/>
  <c r="F33" i="2619"/>
  <c r="F39" i="2619" l="1"/>
  <c r="D32" i="2619"/>
  <c r="D42" i="2619"/>
  <c r="F34" i="2619"/>
  <c r="D38" i="2620"/>
  <c r="C4" i="2618"/>
  <c r="F4" i="2618"/>
  <c r="W6" i="2618"/>
  <c r="F30" i="2618"/>
  <c r="F35" i="2618" l="1"/>
  <c r="D29" i="2618"/>
  <c r="F31" i="2618"/>
  <c r="C4" i="2617"/>
  <c r="F4" i="2617"/>
  <c r="W6" i="2617"/>
  <c r="F30" i="2617"/>
  <c r="F35" i="2617" l="1"/>
  <c r="D29" i="2617"/>
  <c r="D38" i="2617"/>
  <c r="F31" i="2617"/>
  <c r="D38" i="2618"/>
  <c r="C4" i="2616"/>
  <c r="F4" i="2616"/>
  <c r="W6" i="2616"/>
  <c r="F35" i="2616"/>
  <c r="F44" i="2616" l="1"/>
  <c r="D34" i="2616"/>
  <c r="D47" i="2616"/>
  <c r="F36" i="2616"/>
  <c r="C4" i="2615"/>
  <c r="F4" i="2615"/>
  <c r="W6" i="2615"/>
  <c r="F30" i="2615"/>
  <c r="F36" i="2615" l="1"/>
  <c r="D29" i="2615"/>
  <c r="F31" i="2615"/>
  <c r="C4" i="2614"/>
  <c r="F4" i="2614"/>
  <c r="W6" i="2614"/>
  <c r="F33" i="2614"/>
  <c r="F40" i="2614" l="1"/>
  <c r="D32" i="2614"/>
  <c r="F34" i="2614"/>
  <c r="D39" i="2615"/>
  <c r="C4" i="2613"/>
  <c r="F4" i="2613"/>
  <c r="W6" i="2613"/>
  <c r="F30" i="2613"/>
  <c r="F35" i="2613" l="1"/>
  <c r="D29" i="2613"/>
  <c r="D38" i="2613"/>
  <c r="F31" i="2613"/>
  <c r="D43" i="2614"/>
  <c r="C4" i="2612"/>
  <c r="F4" i="2612"/>
  <c r="W6" i="2612"/>
  <c r="F31" i="2612"/>
  <c r="F36" i="2612" l="1"/>
  <c r="D30" i="2612"/>
  <c r="D39" i="2612"/>
  <c r="F32" i="2612"/>
  <c r="C4" i="2611"/>
  <c r="F4" i="2611"/>
  <c r="W6" i="2611"/>
  <c r="F29" i="2611"/>
  <c r="F34" i="2611" l="1"/>
  <c r="D28" i="2611"/>
  <c r="D37" i="2611"/>
  <c r="F30" i="2611"/>
  <c r="C4" i="2610"/>
  <c r="F4" i="2610"/>
  <c r="W6" i="2610"/>
  <c r="F41" i="2610"/>
  <c r="F49" i="2610" l="1"/>
  <c r="D40" i="2610"/>
  <c r="F42" i="2610"/>
  <c r="C4" i="2609"/>
  <c r="F4" i="2609"/>
  <c r="W6" i="2609"/>
  <c r="F30" i="2609"/>
  <c r="F35" i="2609" l="1"/>
  <c r="D29" i="2609"/>
  <c r="D38" i="2609"/>
  <c r="F31" i="2609"/>
  <c r="D52" i="2610"/>
  <c r="C4" i="2608"/>
  <c r="F4" i="2608"/>
  <c r="W6" i="2608"/>
  <c r="F33" i="2608"/>
  <c r="F39" i="2608" l="1"/>
  <c r="D32" i="2608"/>
  <c r="D42" i="2608"/>
  <c r="F34" i="2608"/>
  <c r="C4" i="2607"/>
  <c r="F4" i="2607"/>
  <c r="W6" i="2607"/>
  <c r="F33" i="2607"/>
  <c r="F41" i="2607" l="1"/>
  <c r="D32" i="2607"/>
  <c r="F34" i="2607"/>
  <c r="C4" i="2606"/>
  <c r="F4" i="2606"/>
  <c r="W6" i="2606"/>
  <c r="F30" i="2606"/>
  <c r="F36" i="2606" l="1"/>
  <c r="D29" i="2606"/>
  <c r="F31" i="2606"/>
  <c r="D44" i="2607"/>
  <c r="C4" i="2605"/>
  <c r="F4" i="2605"/>
  <c r="W6" i="2605"/>
  <c r="F30" i="2605"/>
  <c r="F35" i="2605" l="1"/>
  <c r="D29" i="2605"/>
  <c r="D38" i="2605"/>
  <c r="F31" i="2605"/>
  <c r="D39" i="2606"/>
  <c r="C4" i="2604"/>
  <c r="F4" i="2604"/>
  <c r="W6" i="2604"/>
  <c r="F34" i="2604"/>
  <c r="F40" i="2604" l="1"/>
  <c r="D33" i="2604"/>
  <c r="F35" i="2604"/>
  <c r="C4" i="2603"/>
  <c r="F4" i="2603"/>
  <c r="W6" i="2603"/>
  <c r="F32" i="2603"/>
  <c r="F37" i="2603" l="1"/>
  <c r="D31" i="2603"/>
  <c r="D40" i="2603"/>
  <c r="F33" i="2603"/>
  <c r="D43" i="2604"/>
  <c r="C4" i="2602"/>
  <c r="F4" i="2602"/>
  <c r="W6" i="2602"/>
  <c r="F29" i="2602"/>
  <c r="F34" i="2602" l="1"/>
  <c r="D28" i="2602"/>
  <c r="D37" i="2602"/>
  <c r="F30" i="2602"/>
  <c r="C4" i="2601"/>
  <c r="F4" i="2601"/>
  <c r="W6" i="2601"/>
  <c r="F29" i="2601"/>
  <c r="F34" i="2601" l="1"/>
  <c r="D28" i="2601"/>
  <c r="F30" i="2601"/>
  <c r="C4" i="2600"/>
  <c r="F4" i="2600"/>
  <c r="W6" i="2600"/>
  <c r="F30" i="2600"/>
  <c r="F35" i="2600" l="1"/>
  <c r="D29" i="2600"/>
  <c r="F31" i="2600"/>
  <c r="D37" i="2601"/>
  <c r="C4" i="2599"/>
  <c r="F4" i="2599"/>
  <c r="W6" i="2599"/>
  <c r="F30" i="2599"/>
  <c r="F35" i="2599" l="1"/>
  <c r="D29" i="2599"/>
  <c r="D38" i="2599"/>
  <c r="F31" i="2599"/>
  <c r="D38" i="2600"/>
  <c r="C4" i="2598"/>
  <c r="F4" i="2598"/>
  <c r="W6" i="2598"/>
  <c r="F47" i="2598"/>
  <c r="F58" i="2598" l="1"/>
  <c r="D46" i="2598"/>
  <c r="D61" i="2598"/>
  <c r="F48" i="2598"/>
  <c r="C4" i="2597"/>
  <c r="F4" i="2597"/>
  <c r="W6" i="2597"/>
  <c r="F30" i="2597"/>
  <c r="F35" i="2597" l="1"/>
  <c r="D29" i="2597"/>
  <c r="F31" i="2597"/>
  <c r="C4" i="2596"/>
  <c r="F4" i="2596"/>
  <c r="W6" i="2596"/>
  <c r="F34" i="2596"/>
  <c r="F40" i="2596" l="1"/>
  <c r="D33" i="2596"/>
  <c r="D43" i="2596"/>
  <c r="F35" i="2596"/>
  <c r="D38" i="2597"/>
  <c r="C4" i="2595"/>
  <c r="F4" i="2595"/>
  <c r="W6" i="2595"/>
  <c r="F30" i="2595"/>
  <c r="F35" i="2595" l="1"/>
  <c r="D29" i="2595"/>
  <c r="F31" i="2595"/>
  <c r="C4" i="2594"/>
  <c r="F4" i="2594"/>
  <c r="W6" i="2594"/>
  <c r="F37" i="2594"/>
  <c r="F42" i="2594" l="1"/>
  <c r="D36" i="2594"/>
  <c r="D45" i="2594"/>
  <c r="F38" i="2594"/>
  <c r="D38" i="2595"/>
  <c r="C4" i="2593"/>
  <c r="F4" i="2593"/>
  <c r="W6" i="2593"/>
  <c r="F38" i="2593"/>
  <c r="F47" i="2593" l="1"/>
  <c r="D37" i="2593"/>
  <c r="D50" i="2593"/>
  <c r="F39" i="2593"/>
  <c r="C4" i="2592"/>
  <c r="F4" i="2592"/>
  <c r="W6" i="2592"/>
  <c r="F36" i="2592"/>
  <c r="F42" i="2592" l="1"/>
  <c r="D35" i="2592"/>
  <c r="F37" i="2592"/>
  <c r="C4" i="2591"/>
  <c r="F4" i="2591"/>
  <c r="W6" i="2591"/>
  <c r="F33" i="2591"/>
  <c r="F40" i="2591" l="1"/>
  <c r="D32" i="2591"/>
  <c r="F34" i="2591"/>
  <c r="D45" i="2592"/>
  <c r="C4" i="2590"/>
  <c r="F4" i="2590"/>
  <c r="W6" i="2590"/>
  <c r="F30" i="2590"/>
  <c r="F35" i="2590" l="1"/>
  <c r="D29" i="2590"/>
  <c r="D38" i="2590"/>
  <c r="F31" i="2590"/>
  <c r="D43" i="2591"/>
  <c r="C4" i="2589"/>
  <c r="F4" i="2589"/>
  <c r="W6" i="2589"/>
  <c r="F31" i="2589"/>
  <c r="F36" i="2589" l="1"/>
  <c r="D30" i="2589"/>
  <c r="D39" i="2589"/>
  <c r="F32" i="2589"/>
  <c r="C4" i="2588"/>
  <c r="F4" i="2588"/>
  <c r="W6" i="2588"/>
  <c r="F29" i="2588"/>
  <c r="F34" i="2588" l="1"/>
  <c r="D28" i="2588"/>
  <c r="D37" i="2588"/>
  <c r="F30" i="2588"/>
  <c r="C4" i="2587"/>
  <c r="F4" i="2587"/>
  <c r="W6" i="2587"/>
  <c r="F37" i="2587"/>
  <c r="F45" i="2587" l="1"/>
  <c r="D36" i="2587"/>
  <c r="F38" i="2587"/>
  <c r="C4" i="2586"/>
  <c r="F4" i="2586"/>
  <c r="W6" i="2586"/>
  <c r="F30" i="2586"/>
  <c r="F35" i="2586" l="1"/>
  <c r="D29" i="2586"/>
  <c r="D38" i="2586"/>
  <c r="F31" i="2586"/>
  <c r="D48" i="2587"/>
  <c r="C4" i="2585"/>
  <c r="F4" i="2585"/>
  <c r="W6" i="2585"/>
  <c r="F30" i="2585"/>
  <c r="F36" i="2585" l="1"/>
  <c r="D29" i="2585"/>
  <c r="D39" i="2585"/>
  <c r="F31" i="2585"/>
  <c r="C4" i="2584"/>
  <c r="F4" i="2584"/>
  <c r="W6" i="2584"/>
  <c r="F33" i="2584"/>
  <c r="F41" i="2584" l="1"/>
  <c r="D32" i="2584"/>
  <c r="F34" i="2584"/>
  <c r="C4" i="2583"/>
  <c r="F4" i="2583"/>
  <c r="W6" i="2583"/>
  <c r="F30" i="2583"/>
  <c r="F36" i="2583" l="1"/>
  <c r="D29" i="2583"/>
  <c r="F31" i="2583"/>
  <c r="D44" i="2584"/>
  <c r="C4" i="2582"/>
  <c r="F4" i="2582"/>
  <c r="W6" i="2582"/>
  <c r="F30" i="2582"/>
  <c r="F35" i="2582" l="1"/>
  <c r="D29" i="2582"/>
  <c r="D38" i="2582"/>
  <c r="F31" i="2582"/>
  <c r="D39" i="2583"/>
  <c r="C4" i="2581"/>
  <c r="F4" i="2581"/>
  <c r="W6" i="2581"/>
  <c r="F31" i="2581"/>
  <c r="F37" i="2581" l="1"/>
  <c r="D30" i="2581"/>
  <c r="F32" i="2581"/>
  <c r="C4" i="2580"/>
  <c r="F4" i="2580"/>
  <c r="W6" i="2580"/>
  <c r="F31" i="2580"/>
  <c r="F36" i="2580" l="1"/>
  <c r="D30" i="2580"/>
  <c r="D39" i="2580"/>
  <c r="F32" i="2580"/>
  <c r="D40" i="2581"/>
  <c r="C4" i="2579"/>
  <c r="F4" i="2579"/>
  <c r="W6" i="2579"/>
  <c r="F29" i="2579"/>
  <c r="F34" i="2579" l="1"/>
  <c r="D28" i="2579"/>
  <c r="D37" i="2579"/>
  <c r="F30" i="2579"/>
  <c r="C4" i="2578"/>
  <c r="F4" i="2578"/>
  <c r="W6" i="2578"/>
  <c r="F29" i="2578"/>
  <c r="F34" i="2578" l="1"/>
  <c r="D28" i="2578"/>
  <c r="F30" i="2578"/>
  <c r="C4" i="2577"/>
  <c r="F4" i="2577"/>
  <c r="W6" i="2577"/>
  <c r="F30" i="2577"/>
  <c r="F35" i="2577" l="1"/>
  <c r="D29" i="2577"/>
  <c r="F31" i="2577"/>
  <c r="D37" i="2578"/>
  <c r="C4" i="2576"/>
  <c r="F4" i="2576"/>
  <c r="W6" i="2576"/>
  <c r="F30" i="2576"/>
  <c r="F35" i="2576" l="1"/>
  <c r="D29" i="2576"/>
  <c r="D38" i="2576"/>
  <c r="F31" i="2576"/>
  <c r="D38" i="2577"/>
  <c r="C4" i="2575"/>
  <c r="F4" i="2575"/>
  <c r="W6" i="2575"/>
  <c r="F40" i="2575"/>
  <c r="F51" i="2575" l="1"/>
  <c r="D39" i="2575"/>
  <c r="D54" i="2575"/>
  <c r="F41" i="2575"/>
  <c r="C4" i="2574"/>
  <c r="F4" i="2574"/>
  <c r="W6" i="2574"/>
  <c r="F30" i="2574"/>
  <c r="F35" i="2574" l="1"/>
  <c r="D29" i="2574"/>
  <c r="F31" i="2574"/>
  <c r="C4" i="2573"/>
  <c r="F4" i="2573"/>
  <c r="W6" i="2573"/>
  <c r="F33" i="2573"/>
  <c r="F39" i="2573" l="1"/>
  <c r="D32" i="2573"/>
  <c r="D42" i="2573"/>
  <c r="F34" i="2573"/>
  <c r="D38" i="2574"/>
  <c r="C4" i="2572"/>
  <c r="F4" i="2572"/>
  <c r="W6" i="2572"/>
  <c r="F30" i="2572"/>
  <c r="F35" i="2572" l="1"/>
  <c r="D29" i="2572"/>
  <c r="F31" i="2572"/>
  <c r="C4" i="2571"/>
  <c r="F4" i="2571"/>
  <c r="W6" i="2571"/>
  <c r="F30" i="2571"/>
  <c r="F35" i="2571" l="1"/>
  <c r="D29" i="2571"/>
  <c r="D38" i="2571"/>
  <c r="F31" i="2571"/>
  <c r="D38" i="2572"/>
  <c r="C4" i="2570"/>
  <c r="F4" i="2570"/>
  <c r="W6" i="2570"/>
  <c r="F35" i="2570"/>
  <c r="F44" i="2570" l="1"/>
  <c r="D34" i="2570"/>
  <c r="D47" i="2570"/>
  <c r="F36" i="2570"/>
  <c r="C4" i="2569"/>
  <c r="F4" i="2569"/>
  <c r="W6" i="2569"/>
  <c r="F30" i="2569"/>
  <c r="F36" i="2569" l="1"/>
  <c r="D29" i="2569"/>
  <c r="F31" i="2569"/>
  <c r="C4" i="2568"/>
  <c r="F4" i="2568"/>
  <c r="W6" i="2568"/>
  <c r="F33" i="2568"/>
  <c r="F40" i="2568" l="1"/>
  <c r="D32" i="2568"/>
  <c r="F34" i="2568"/>
  <c r="D39" i="2569"/>
  <c r="C4" i="2567"/>
  <c r="F4" i="2567"/>
  <c r="W6" i="2567"/>
  <c r="F30" i="2567"/>
  <c r="F35" i="2567" l="1"/>
  <c r="D29" i="2567"/>
  <c r="D38" i="2567"/>
  <c r="F31" i="2567"/>
  <c r="D43" i="2568"/>
  <c r="C4" i="2566"/>
  <c r="F4" i="2566"/>
  <c r="W6" i="2566"/>
  <c r="F31" i="2566"/>
  <c r="F36" i="2566" l="1"/>
  <c r="D30" i="2566"/>
  <c r="D39" i="2566"/>
  <c r="F32" i="2566"/>
  <c r="C4" i="2565"/>
  <c r="F4" i="2565"/>
  <c r="W6" i="2565"/>
  <c r="F29" i="2565"/>
  <c r="F34" i="2565" l="1"/>
  <c r="D28" i="2565"/>
  <c r="D37" i="2565"/>
  <c r="F30" i="2565"/>
  <c r="C4" i="2564"/>
  <c r="F4" i="2564"/>
  <c r="W6" i="2564"/>
  <c r="F54" i="2564"/>
  <c r="F62" i="2564" l="1"/>
  <c r="D53" i="2564"/>
  <c r="F55" i="2564"/>
  <c r="C4" i="2563"/>
  <c r="F4" i="2563"/>
  <c r="W6" i="2563"/>
  <c r="F35" i="2563"/>
  <c r="F40" i="2563" l="1"/>
  <c r="D34" i="2563"/>
  <c r="D43" i="2563"/>
  <c r="F36" i="2563"/>
  <c r="D65" i="2564"/>
  <c r="C4" i="2562"/>
  <c r="F4" i="2562"/>
  <c r="W6" i="2562"/>
  <c r="F30" i="2562"/>
  <c r="F36" i="2562" l="1"/>
  <c r="D29" i="2562"/>
  <c r="D39" i="2562"/>
  <c r="F31" i="2562"/>
  <c r="C4" i="2561"/>
  <c r="F4" i="2561"/>
  <c r="W6" i="2561"/>
  <c r="F42" i="2561"/>
  <c r="F50" i="2561" l="1"/>
  <c r="D41" i="2561"/>
  <c r="F43" i="2561"/>
  <c r="C4" i="2560"/>
  <c r="F4" i="2560"/>
  <c r="W6" i="2560"/>
  <c r="F32" i="2560"/>
  <c r="F38" i="2560" l="1"/>
  <c r="D31" i="2560"/>
  <c r="F33" i="2560"/>
  <c r="D53" i="2561"/>
  <c r="C4" i="2559"/>
  <c r="F4" i="2559"/>
  <c r="W6" i="2559"/>
  <c r="F32" i="2559"/>
  <c r="F37" i="2559" l="1"/>
  <c r="D31" i="2559"/>
  <c r="D40" i="2559"/>
  <c r="F33" i="2559"/>
  <c r="D41" i="2560"/>
  <c r="C4" i="2558"/>
  <c r="F4" i="2558"/>
  <c r="W6" i="2558"/>
  <c r="F33" i="2558"/>
  <c r="F39" i="2558" l="1"/>
  <c r="D32" i="2558"/>
  <c r="F34" i="2558"/>
  <c r="C4" i="2557"/>
  <c r="F4" i="2557"/>
  <c r="W6" i="2557"/>
  <c r="F33" i="2557"/>
  <c r="F38" i="2557" l="1"/>
  <c r="D32" i="2557"/>
  <c r="D41" i="2557"/>
  <c r="F34" i="2557"/>
  <c r="D42" i="2558"/>
  <c r="C4" i="2556"/>
  <c r="F4" i="2556"/>
  <c r="W6" i="2556"/>
  <c r="F37" i="2556"/>
  <c r="F42" i="2556" l="1"/>
  <c r="D36" i="2556"/>
  <c r="D45" i="2556"/>
  <c r="F38" i="2556"/>
  <c r="C4" i="2555"/>
  <c r="F4" i="2555"/>
  <c r="W6" i="2555"/>
  <c r="F31" i="2555"/>
  <c r="F36" i="2555" l="1"/>
  <c r="D30" i="2555"/>
  <c r="F32" i="2555"/>
  <c r="C4" i="2554"/>
  <c r="F4" i="2554"/>
  <c r="W6" i="2554"/>
  <c r="F37" i="2554"/>
  <c r="F42" i="2554" l="1"/>
  <c r="D36" i="2554"/>
  <c r="F38" i="2554"/>
  <c r="D39" i="2555"/>
  <c r="C4" i="2553"/>
  <c r="F4" i="2553"/>
  <c r="W6" i="2553"/>
  <c r="F33" i="2553"/>
  <c r="F38" i="2553" l="1"/>
  <c r="D32" i="2553"/>
  <c r="D41" i="2553"/>
  <c r="F34" i="2553"/>
  <c r="D45" i="2554"/>
  <c r="C4" i="2552"/>
  <c r="F4" i="2552"/>
  <c r="W6" i="2552"/>
  <c r="F45" i="2552"/>
  <c r="F56" i="2552" l="1"/>
  <c r="D44" i="2552"/>
  <c r="D59" i="2552"/>
  <c r="F46" i="2552"/>
  <c r="C4" i="2551"/>
  <c r="F4" i="2551"/>
  <c r="W6" i="2551"/>
  <c r="F34" i="2551"/>
  <c r="F39" i="2551" l="1"/>
  <c r="D33" i="2551"/>
  <c r="F35" i="2551"/>
  <c r="C4" i="2550"/>
  <c r="F4" i="2550"/>
  <c r="W6" i="2550"/>
  <c r="F37" i="2550"/>
  <c r="F43" i="2550" l="1"/>
  <c r="D36" i="2550"/>
  <c r="D46" i="2550"/>
  <c r="F38" i="2550"/>
  <c r="D42" i="2551"/>
  <c r="C4" i="2549"/>
  <c r="F4" i="2549"/>
  <c r="W6" i="2549"/>
  <c r="F36" i="2549"/>
  <c r="F41" i="2549" l="1"/>
  <c r="D35" i="2549"/>
  <c r="F37" i="2549"/>
  <c r="C4" i="2548"/>
  <c r="F4" i="2548"/>
  <c r="W6" i="2548"/>
  <c r="F33" i="2548"/>
  <c r="F38" i="2548" l="1"/>
  <c r="D32" i="2548"/>
  <c r="D41" i="2548"/>
  <c r="F34" i="2548"/>
  <c r="D44" i="2549"/>
  <c r="C4" i="2547"/>
  <c r="F4" i="2547"/>
  <c r="W6" i="2547"/>
  <c r="F45" i="2547"/>
  <c r="F54" i="2547" l="1"/>
  <c r="D44" i="2547"/>
  <c r="D57" i="2547"/>
  <c r="F46" i="2547"/>
  <c r="C4" i="2546"/>
  <c r="F4" i="2546"/>
  <c r="W6" i="2546"/>
  <c r="F40" i="2546"/>
  <c r="F46" i="2546" l="1"/>
  <c r="D39" i="2546"/>
  <c r="F41" i="2546"/>
  <c r="C4" i="2545"/>
  <c r="F4" i="2545"/>
  <c r="W6" i="2545"/>
  <c r="F41" i="2545"/>
  <c r="F48" i="2545" l="1"/>
  <c r="D40" i="2545"/>
  <c r="F42" i="2545"/>
  <c r="D49" i="2546"/>
  <c r="C4" i="2544"/>
  <c r="F4" i="2544"/>
  <c r="W6" i="2544"/>
  <c r="F36" i="2544"/>
  <c r="F41" i="2544" l="1"/>
  <c r="D35" i="2544"/>
  <c r="D44" i="2544"/>
  <c r="F37" i="2544"/>
  <c r="D51" i="2545"/>
  <c r="C4" i="2543"/>
  <c r="F4" i="2543"/>
  <c r="W6" i="2543"/>
  <c r="F36" i="2543"/>
  <c r="F41" i="2543" l="1"/>
  <c r="D35" i="2543"/>
  <c r="D44" i="2543"/>
  <c r="F37" i="2543"/>
  <c r="C4" i="2542"/>
  <c r="F4" i="2542"/>
  <c r="W6" i="2542"/>
  <c r="F29" i="2542"/>
  <c r="F34" i="2542" l="1"/>
  <c r="D28" i="2542"/>
  <c r="D37" i="2542"/>
  <c r="F30" i="2542"/>
  <c r="W6" i="6"/>
  <c r="W6" i="5"/>
  <c r="W6" i="4"/>
  <c r="W6" i="3"/>
  <c r="C3" i="1089"/>
  <c r="C3" i="1088"/>
  <c r="D25" i="1088"/>
  <c r="C3" i="2"/>
  <c r="C9" i="2"/>
  <c r="E21" i="2633" l="1"/>
  <c r="F21" i="2633"/>
  <c r="E14" i="2632"/>
  <c r="F14" i="2632"/>
  <c r="E14" i="2631"/>
  <c r="F14" i="2631"/>
  <c r="E17" i="2630"/>
  <c r="F17" i="2630"/>
  <c r="E14" i="2629"/>
  <c r="F14" i="2629"/>
  <c r="E14" i="2628"/>
  <c r="F14" i="2628"/>
  <c r="E15" i="2627"/>
  <c r="F15" i="2627"/>
  <c r="E15" i="2626"/>
  <c r="F15" i="2626"/>
  <c r="E13" i="2625"/>
  <c r="F13" i="2625"/>
  <c r="E13" i="2624"/>
  <c r="F13" i="2624"/>
  <c r="E14" i="2623"/>
  <c r="F14" i="2623"/>
  <c r="E14" i="2622"/>
  <c r="F14" i="2622"/>
  <c r="E24" i="2621"/>
  <c r="F24" i="2621"/>
  <c r="E14" i="2620"/>
  <c r="F14" i="2620"/>
  <c r="E17" i="2619"/>
  <c r="F17" i="2619"/>
  <c r="E14" i="2618"/>
  <c r="F14" i="2618"/>
  <c r="E14" i="2617"/>
  <c r="F14" i="2617"/>
  <c r="E19" i="2616"/>
  <c r="F19" i="2616"/>
  <c r="E14" i="2615"/>
  <c r="F14" i="2615"/>
  <c r="E17" i="2614"/>
  <c r="F17" i="2614"/>
  <c r="E14" i="2613"/>
  <c r="F14" i="2613"/>
  <c r="E15" i="2612"/>
  <c r="F15" i="2612"/>
  <c r="E13" i="2611"/>
  <c r="F13" i="2611"/>
  <c r="E21" i="2610"/>
  <c r="F21" i="2610"/>
  <c r="E14" i="2609"/>
  <c r="F14" i="2609"/>
  <c r="E14" i="2608"/>
  <c r="F14" i="2608"/>
  <c r="E17" i="2607"/>
  <c r="F17" i="2607"/>
  <c r="E14" i="2606"/>
  <c r="F14" i="2606"/>
  <c r="E14" i="2605"/>
  <c r="F14" i="2605"/>
  <c r="E15" i="2604"/>
  <c r="F15" i="2604"/>
  <c r="E15" i="2603"/>
  <c r="F15" i="2603"/>
  <c r="E13" i="2602"/>
  <c r="F13" i="2602"/>
  <c r="E13" i="2601"/>
  <c r="F13" i="2601"/>
  <c r="E14" i="2600"/>
  <c r="F14" i="2600"/>
  <c r="E14" i="2599"/>
  <c r="F14" i="2599"/>
  <c r="E24" i="2598"/>
  <c r="F24" i="2598"/>
  <c r="E14" i="2597"/>
  <c r="F14" i="2597"/>
  <c r="E17" i="2596"/>
  <c r="F17" i="2596"/>
  <c r="E14" i="2595"/>
  <c r="F14" i="2595"/>
  <c r="E14" i="2594"/>
  <c r="F14" i="2594"/>
  <c r="E19" i="2593"/>
  <c r="F19" i="2593"/>
  <c r="E14" i="2592"/>
  <c r="F14" i="2592"/>
  <c r="E17" i="2591"/>
  <c r="F17" i="2591"/>
  <c r="E14" i="2590"/>
  <c r="F14" i="2590"/>
  <c r="E15" i="2589"/>
  <c r="F15" i="2589"/>
  <c r="E13" i="2588"/>
  <c r="F13" i="2588"/>
  <c r="E21" i="2587"/>
  <c r="F21" i="2587"/>
  <c r="E14" i="2586"/>
  <c r="F14" i="2586"/>
  <c r="E14" i="2585"/>
  <c r="F14" i="2585"/>
  <c r="E17" i="2584"/>
  <c r="F17" i="2584"/>
  <c r="E14" i="2583"/>
  <c r="F14" i="2583"/>
  <c r="E14" i="2582"/>
  <c r="F14" i="2582"/>
  <c r="E15" i="2581"/>
  <c r="F15" i="2581"/>
  <c r="E15" i="2580"/>
  <c r="F15" i="2580"/>
  <c r="E13" i="2579"/>
  <c r="F13" i="2579"/>
  <c r="E13" i="2578"/>
  <c r="F13" i="2578"/>
  <c r="E14" i="2577"/>
  <c r="F14" i="2577"/>
  <c r="E14" i="2576"/>
  <c r="F14" i="2576"/>
  <c r="E24" i="2575"/>
  <c r="F24" i="2575"/>
  <c r="E14" i="2574"/>
  <c r="F14" i="2574"/>
  <c r="E17" i="2573"/>
  <c r="F17" i="2573"/>
  <c r="E14" i="2572"/>
  <c r="F14" i="2572"/>
  <c r="E14" i="2571"/>
  <c r="F14" i="2571"/>
  <c r="E19" i="2570"/>
  <c r="F19" i="2570"/>
  <c r="E14" i="2569"/>
  <c r="F14" i="2569"/>
  <c r="E17" i="2568"/>
  <c r="F17" i="2568"/>
  <c r="E14" i="2567"/>
  <c r="F14" i="2567"/>
  <c r="E15" i="2566"/>
  <c r="F15" i="2566"/>
  <c r="E13" i="2565"/>
  <c r="F13" i="2565"/>
  <c r="E21" i="2564"/>
  <c r="F21" i="2564"/>
  <c r="E14" i="2563"/>
  <c r="F14" i="2563"/>
  <c r="E14" i="2562"/>
  <c r="F14" i="2562"/>
  <c r="E17" i="2561"/>
  <c r="F17" i="2561"/>
  <c r="E14" i="2560"/>
  <c r="F14" i="2560"/>
  <c r="E14" i="2559"/>
  <c r="F14" i="2559"/>
  <c r="E15" i="2558"/>
  <c r="F15" i="2558"/>
  <c r="E15" i="2557"/>
  <c r="F15" i="2557"/>
  <c r="E13" i="2556"/>
  <c r="F13" i="2556"/>
  <c r="E13" i="2555"/>
  <c r="F13" i="2555"/>
  <c r="E14" i="2554"/>
  <c r="F14" i="2554"/>
  <c r="E14" i="2553"/>
  <c r="F14" i="2553"/>
  <c r="E24" i="2552"/>
  <c r="F24" i="2552"/>
  <c r="E14" i="2551"/>
  <c r="F14" i="2551"/>
  <c r="E17" i="2550"/>
  <c r="F17" i="2550"/>
  <c r="E14" i="2549"/>
  <c r="F14" i="2549"/>
  <c r="E14" i="2548"/>
  <c r="F14" i="2548"/>
  <c r="E19" i="2547"/>
  <c r="F19" i="2547"/>
  <c r="E14" i="2546"/>
  <c r="F14" i="2546"/>
  <c r="E17" i="2545"/>
  <c r="F17" i="2545"/>
  <c r="E14" i="2544"/>
  <c r="F14" i="2544"/>
  <c r="E15" i="2543"/>
  <c r="F15" i="2543"/>
  <c r="E13" i="2542"/>
  <c r="F13" i="2542"/>
  <c r="D28" i="6"/>
  <c r="D37" i="6"/>
  <c r="F13" i="6"/>
  <c r="E13" i="6"/>
  <c r="D28" i="5"/>
  <c r="D37" i="5"/>
  <c r="F13" i="5"/>
  <c r="E13" i="5"/>
  <c r="D28" i="4"/>
  <c r="D37" i="4"/>
  <c r="F13" i="4"/>
  <c r="E13" i="4"/>
  <c r="D29" i="3"/>
  <c r="D38" i="3"/>
  <c r="F13" i="3"/>
  <c r="E13" i="3"/>
  <c r="F34" i="6"/>
  <c r="F34" i="5"/>
  <c r="F34" i="4"/>
  <c r="F35" i="3"/>
  <c r="F4" i="6"/>
  <c r="F4" i="5"/>
  <c r="F4" i="4"/>
  <c r="F4" i="3"/>
  <c r="C2" i="1089"/>
  <c r="C2" i="1088"/>
  <c r="E27" i="1089" l="1"/>
  <c r="E28" i="1089" s="1"/>
  <c r="E10" i="1089"/>
  <c r="E11" i="1089" s="1"/>
  <c r="G15" i="1089"/>
  <c r="G20" i="1089"/>
  <c r="G22" i="1089"/>
  <c r="G24" i="1089"/>
  <c r="E27" i="1088"/>
  <c r="E28" i="1088" s="1"/>
  <c r="E10" i="1088"/>
  <c r="E11" i="1088" s="1"/>
  <c r="G15" i="1088"/>
  <c r="G20" i="1088"/>
  <c r="G22" i="1088"/>
  <c r="G24" i="1088"/>
  <c r="B24" i="3"/>
  <c r="B24" i="4"/>
  <c r="B24" i="5"/>
  <c r="B24" i="6"/>
  <c r="B24" i="2542"/>
  <c r="B26" i="2543"/>
  <c r="B25" i="2544"/>
  <c r="B28" i="2545"/>
  <c r="B25" i="2546"/>
  <c r="B30" i="2547"/>
  <c r="B25" i="2548"/>
  <c r="B25" i="2549"/>
  <c r="B28" i="2550"/>
  <c r="B25" i="2551"/>
  <c r="B35" i="2552"/>
  <c r="B23" i="2552" s="1"/>
  <c r="B25" i="2553"/>
  <c r="B25" i="2554"/>
  <c r="B24" i="2555"/>
  <c r="B24" i="2556"/>
  <c r="B26" i="2557"/>
  <c r="B26" i="2558"/>
  <c r="B25" i="2559"/>
  <c r="B25" i="2560"/>
  <c r="B28" i="2561"/>
  <c r="B25" i="2562"/>
  <c r="B25" i="2563"/>
  <c r="B32" i="2564"/>
  <c r="B24" i="2565"/>
  <c r="B26" i="2566"/>
  <c r="B25" i="2567"/>
  <c r="B28" i="2568"/>
  <c r="B25" i="2569"/>
  <c r="B30" i="2570"/>
  <c r="B25" i="2571"/>
  <c r="B25" i="2572"/>
  <c r="B28" i="2573"/>
  <c r="B25" i="2574"/>
  <c r="B35" i="2575"/>
  <c r="B23" i="2575" s="1"/>
  <c r="B25" i="2576"/>
  <c r="B25" i="2577"/>
  <c r="B24" i="2578"/>
  <c r="B24" i="2579"/>
  <c r="B26" i="2580"/>
  <c r="B26" i="2581"/>
  <c r="B25" i="2582"/>
  <c r="B25" i="2583"/>
  <c r="B28" i="2584"/>
  <c r="B25" i="2585"/>
  <c r="B25" i="2586"/>
  <c r="B32" i="2587"/>
  <c r="B24" i="2588"/>
  <c r="B26" i="2589"/>
  <c r="B25" i="2590"/>
  <c r="B28" i="2591"/>
  <c r="B25" i="2592"/>
  <c r="B30" i="2593"/>
  <c r="B25" i="2594"/>
  <c r="B25" i="2595"/>
  <c r="B28" i="2596"/>
  <c r="B25" i="2597"/>
  <c r="B35" i="2598"/>
  <c r="B23" i="2598" s="1"/>
  <c r="B25" i="2599"/>
  <c r="B25" i="2600"/>
  <c r="B24" i="2601"/>
  <c r="B24" i="2602"/>
  <c r="B26" i="2603"/>
  <c r="B26" i="2604"/>
  <c r="B25" i="2605"/>
  <c r="B25" i="2606"/>
  <c r="B28" i="2607"/>
  <c r="B25" i="2608"/>
  <c r="B25" i="2609"/>
  <c r="B32" i="2610"/>
  <c r="B24" i="2611"/>
  <c r="B26" i="2612"/>
  <c r="B25" i="2613"/>
  <c r="B28" i="2614"/>
  <c r="B25" i="2615"/>
  <c r="B30" i="2616"/>
  <c r="B25" i="2617"/>
  <c r="B25" i="2618"/>
  <c r="B28" i="2619"/>
  <c r="B25" i="2620"/>
  <c r="B35" i="2621"/>
  <c r="B23" i="2621" s="1"/>
  <c r="B25" i="2622"/>
  <c r="B25" i="2623"/>
  <c r="B24" i="2624"/>
  <c r="B24" i="2625"/>
  <c r="B26" i="2626"/>
  <c r="B26" i="2627"/>
  <c r="B25" i="2628"/>
  <c r="B25" i="2629"/>
  <c r="B28" i="2630"/>
  <c r="B25" i="2631"/>
  <c r="B25" i="2632"/>
  <c r="B32" i="2633"/>
  <c r="D2" i="2542"/>
  <c r="D26" i="2542" s="1"/>
  <c r="B2" i="2542"/>
  <c r="M4" i="2542"/>
  <c r="M5" i="2542"/>
  <c r="M6" i="2542"/>
  <c r="D2" i="2543"/>
  <c r="D33" i="2543" s="1"/>
  <c r="B2" i="2543"/>
  <c r="M4" i="2543"/>
  <c r="M5" i="2543"/>
  <c r="M6" i="2543"/>
  <c r="D2" i="2544"/>
  <c r="D33" i="2544" s="1"/>
  <c r="B2" i="2544"/>
  <c r="M4" i="2544"/>
  <c r="M5" i="2544"/>
  <c r="M6" i="2544"/>
  <c r="D2" i="2545"/>
  <c r="D38" i="2545" s="1"/>
  <c r="B2" i="2545"/>
  <c r="M4" i="2545"/>
  <c r="M5" i="2545"/>
  <c r="M6" i="2545"/>
  <c r="D2" i="2546"/>
  <c r="D37" i="2546" s="1"/>
  <c r="B2" i="2546"/>
  <c r="M4" i="2546"/>
  <c r="M5" i="2546"/>
  <c r="M6" i="2546"/>
  <c r="D2" i="2547"/>
  <c r="D42" i="2547" s="1"/>
  <c r="B2" i="2547"/>
  <c r="M4" i="2547"/>
  <c r="M5" i="2547"/>
  <c r="M6" i="2547"/>
  <c r="D2" i="2548"/>
  <c r="D30" i="2548" s="1"/>
  <c r="B2" i="2548"/>
  <c r="M4" i="2548"/>
  <c r="M5" i="2548"/>
  <c r="M6" i="2548"/>
  <c r="D2" i="2549"/>
  <c r="D33" i="2549" s="1"/>
  <c r="B2" i="2549"/>
  <c r="M4" i="2549"/>
  <c r="M5" i="2549"/>
  <c r="M6" i="2549"/>
  <c r="D2" i="2550"/>
  <c r="D34" i="2550" s="1"/>
  <c r="B2" i="2550"/>
  <c r="M4" i="2550"/>
  <c r="M5" i="2550"/>
  <c r="M6" i="2550"/>
  <c r="D2" i="2551"/>
  <c r="D31" i="2551" s="1"/>
  <c r="B2" i="2551"/>
  <c r="M4" i="2551"/>
  <c r="M5" i="2551"/>
  <c r="M6" i="2551"/>
  <c r="D2" i="2552"/>
  <c r="D42" i="2552" s="1"/>
  <c r="B2" i="2552"/>
  <c r="M4" i="2552"/>
  <c r="M5" i="2552"/>
  <c r="M6" i="2552"/>
  <c r="D2" i="2553"/>
  <c r="D30" i="2553" s="1"/>
  <c r="B2" i="2553"/>
  <c r="M4" i="2553"/>
  <c r="M5" i="2553"/>
  <c r="M6" i="2553"/>
  <c r="D2" i="2554"/>
  <c r="D34" i="2554" s="1"/>
  <c r="B2" i="2554"/>
  <c r="M4" i="2554"/>
  <c r="M5" i="2554"/>
  <c r="M6" i="2554"/>
  <c r="D2" i="2555"/>
  <c r="D28" i="2555" s="1"/>
  <c r="B2" i="2555"/>
  <c r="M4" i="2555"/>
  <c r="M5" i="2555"/>
  <c r="M6" i="2555"/>
  <c r="D2" i="2556"/>
  <c r="D34" i="2556" s="1"/>
  <c r="B2" i="2556"/>
  <c r="M4" i="2556"/>
  <c r="M5" i="2556"/>
  <c r="M6" i="2556"/>
  <c r="D2" i="2557"/>
  <c r="D30" i="2557" s="1"/>
  <c r="B2" i="2557"/>
  <c r="M4" i="2557"/>
  <c r="M5" i="2557"/>
  <c r="M6" i="2557"/>
  <c r="D2" i="2558"/>
  <c r="D30" i="2558" s="1"/>
  <c r="B2" i="2558"/>
  <c r="M4" i="2558"/>
  <c r="M5" i="2558"/>
  <c r="M6" i="2558"/>
  <c r="D2" i="2559"/>
  <c r="D29" i="2559" s="1"/>
  <c r="B2" i="2559"/>
  <c r="M4" i="2559"/>
  <c r="M5" i="2559"/>
  <c r="M6" i="2559"/>
  <c r="D2" i="2560"/>
  <c r="D29" i="2560" s="1"/>
  <c r="B2" i="2560"/>
  <c r="M4" i="2560"/>
  <c r="M5" i="2560"/>
  <c r="M6" i="2560"/>
  <c r="D2" i="2561"/>
  <c r="D39" i="2561" s="1"/>
  <c r="B2" i="2561"/>
  <c r="M4" i="2561"/>
  <c r="M5" i="2561"/>
  <c r="M6" i="2561"/>
  <c r="D2" i="2562"/>
  <c r="D27" i="2562" s="1"/>
  <c r="B2" i="2562"/>
  <c r="M4" i="2562"/>
  <c r="M5" i="2562"/>
  <c r="M6" i="2562"/>
  <c r="D2" i="2563"/>
  <c r="D32" i="2563" s="1"/>
  <c r="B2" i="2563"/>
  <c r="M4" i="2563"/>
  <c r="M5" i="2563"/>
  <c r="M6" i="2563"/>
  <c r="D2" i="2564"/>
  <c r="D51" i="2564" s="1"/>
  <c r="B2" i="2564"/>
  <c r="M4" i="2564"/>
  <c r="M5" i="2564"/>
  <c r="M6" i="2564"/>
  <c r="D2" i="2565"/>
  <c r="D26" i="2565" s="1"/>
  <c r="B2" i="2565"/>
  <c r="M4" i="2565"/>
  <c r="M5" i="2565"/>
  <c r="M6" i="2565"/>
  <c r="D2" i="2566"/>
  <c r="D28" i="2566" s="1"/>
  <c r="B2" i="2566"/>
  <c r="M4" i="2566"/>
  <c r="M5" i="2566"/>
  <c r="M6" i="2566"/>
  <c r="D2" i="2567"/>
  <c r="D27" i="2567" s="1"/>
  <c r="B2" i="2567"/>
  <c r="M4" i="2567"/>
  <c r="M5" i="2567"/>
  <c r="M6" i="2567"/>
  <c r="D2" i="2568"/>
  <c r="D30" i="2568" s="1"/>
  <c r="B2" i="2568"/>
  <c r="M4" i="2568"/>
  <c r="M5" i="2568"/>
  <c r="M6" i="2568"/>
  <c r="D2" i="2569"/>
  <c r="D27" i="2569" s="1"/>
  <c r="B2" i="2569"/>
  <c r="M4" i="2569"/>
  <c r="M5" i="2569"/>
  <c r="M6" i="2569"/>
  <c r="D2" i="2570"/>
  <c r="D32" i="2570" s="1"/>
  <c r="B2" i="2570"/>
  <c r="M4" i="2570"/>
  <c r="M5" i="2570"/>
  <c r="M6" i="2570"/>
  <c r="D2" i="2571"/>
  <c r="D27" i="2571" s="1"/>
  <c r="B2" i="2571"/>
  <c r="M4" i="2571"/>
  <c r="M5" i="2571"/>
  <c r="M6" i="2571"/>
  <c r="D2" i="2572"/>
  <c r="D27" i="2572" s="1"/>
  <c r="B2" i="2572"/>
  <c r="M4" i="2572"/>
  <c r="M5" i="2572"/>
  <c r="M6" i="2572"/>
  <c r="D2" i="2573"/>
  <c r="D30" i="2573" s="1"/>
  <c r="B2" i="2573"/>
  <c r="M4" i="2573"/>
  <c r="M5" i="2573"/>
  <c r="M6" i="2573"/>
  <c r="D2" i="2574"/>
  <c r="D27" i="2574" s="1"/>
  <c r="B2" i="2574"/>
  <c r="M4" i="2574"/>
  <c r="M5" i="2574"/>
  <c r="M6" i="2574"/>
  <c r="D2" i="2575"/>
  <c r="D37" i="2575" s="1"/>
  <c r="B2" i="2575"/>
  <c r="M4" i="2575"/>
  <c r="M5" i="2575"/>
  <c r="M6" i="2575"/>
  <c r="D2" i="2576"/>
  <c r="D27" i="2576" s="1"/>
  <c r="B2" i="2576"/>
  <c r="M4" i="2576"/>
  <c r="M5" i="2576"/>
  <c r="M6" i="2576"/>
  <c r="D2" i="2577"/>
  <c r="D27" i="2577" s="1"/>
  <c r="B2" i="2577"/>
  <c r="M4" i="2577"/>
  <c r="M5" i="2577"/>
  <c r="M6" i="2577"/>
  <c r="D2" i="2578"/>
  <c r="D26" i="2578" s="1"/>
  <c r="B2" i="2578"/>
  <c r="M4" i="2578"/>
  <c r="M5" i="2578"/>
  <c r="M6" i="2578"/>
  <c r="D2" i="2579"/>
  <c r="D26" i="2579" s="1"/>
  <c r="B2" i="2579"/>
  <c r="M4" i="2579"/>
  <c r="M5" i="2579"/>
  <c r="M6" i="2579"/>
  <c r="D2" i="2580"/>
  <c r="D28" i="2580" s="1"/>
  <c r="B2" i="2580"/>
  <c r="M4" i="2580"/>
  <c r="M5" i="2580"/>
  <c r="M6" i="2580"/>
  <c r="D2" i="2581"/>
  <c r="D28" i="2581" s="1"/>
  <c r="B2" i="2581"/>
  <c r="M4" i="2581"/>
  <c r="M5" i="2581"/>
  <c r="M6" i="2581"/>
  <c r="D2" i="2582"/>
  <c r="D27" i="2582" s="1"/>
  <c r="B2" i="2582"/>
  <c r="M4" i="2582"/>
  <c r="M5" i="2582"/>
  <c r="M6" i="2582"/>
  <c r="D2" i="2583"/>
  <c r="D27" i="2583" s="1"/>
  <c r="B2" i="2583"/>
  <c r="M4" i="2583"/>
  <c r="M5" i="2583"/>
  <c r="M6" i="2583"/>
  <c r="D2" i="2584"/>
  <c r="D30" i="2584" s="1"/>
  <c r="B2" i="2584"/>
  <c r="M4" i="2584"/>
  <c r="M5" i="2584"/>
  <c r="M6" i="2584"/>
  <c r="D2" i="2585"/>
  <c r="D27" i="2585" s="1"/>
  <c r="B2" i="2585"/>
  <c r="M4" i="2585"/>
  <c r="M5" i="2585"/>
  <c r="M6" i="2585"/>
  <c r="D2" i="2586"/>
  <c r="D27" i="2586" s="1"/>
  <c r="B2" i="2586"/>
  <c r="M4" i="2586"/>
  <c r="M5" i="2586"/>
  <c r="M6" i="2586"/>
  <c r="D2" i="2587"/>
  <c r="D34" i="2587" s="1"/>
  <c r="B2" i="2587"/>
  <c r="M4" i="2587"/>
  <c r="M5" i="2587"/>
  <c r="M6" i="2587"/>
  <c r="D2" i="2588"/>
  <c r="D26" i="2588" s="1"/>
  <c r="B2" i="2588"/>
  <c r="M4" i="2588"/>
  <c r="M5" i="2588"/>
  <c r="M6" i="2588"/>
  <c r="D2" i="2589"/>
  <c r="D28" i="2589" s="1"/>
  <c r="B2" i="2589"/>
  <c r="M4" i="2589"/>
  <c r="M5" i="2589"/>
  <c r="M6" i="2589"/>
  <c r="D2" i="2590"/>
  <c r="D27" i="2590" s="1"/>
  <c r="B2" i="2590"/>
  <c r="M4" i="2590"/>
  <c r="M5" i="2590"/>
  <c r="M6" i="2590"/>
  <c r="D2" i="2591"/>
  <c r="D30" i="2591" s="1"/>
  <c r="B2" i="2591"/>
  <c r="M4" i="2591"/>
  <c r="M5" i="2591"/>
  <c r="M6" i="2591"/>
  <c r="D2" i="2592"/>
  <c r="D33" i="2592" s="1"/>
  <c r="B2" i="2592"/>
  <c r="M4" i="2592"/>
  <c r="M5" i="2592"/>
  <c r="M6" i="2592"/>
  <c r="D2" i="2593"/>
  <c r="D35" i="2593" s="1"/>
  <c r="B2" i="2593"/>
  <c r="M4" i="2593"/>
  <c r="M5" i="2593"/>
  <c r="M6" i="2593"/>
  <c r="D2" i="2594"/>
  <c r="D34" i="2594" s="1"/>
  <c r="B2" i="2594"/>
  <c r="M4" i="2594"/>
  <c r="M5" i="2594"/>
  <c r="M6" i="2594"/>
  <c r="D2" i="2595"/>
  <c r="D27" i="2595" s="1"/>
  <c r="B2" i="2595"/>
  <c r="M4" i="2595"/>
  <c r="M5" i="2595"/>
  <c r="M6" i="2595"/>
  <c r="D2" i="2596"/>
  <c r="D31" i="2596" s="1"/>
  <c r="B2" i="2596"/>
  <c r="M4" i="2596"/>
  <c r="M5" i="2596"/>
  <c r="M6" i="2596"/>
  <c r="D2" i="2597"/>
  <c r="D27" i="2597" s="1"/>
  <c r="B2" i="2597"/>
  <c r="M4" i="2597"/>
  <c r="M5" i="2597"/>
  <c r="M6" i="2597"/>
  <c r="D2" i="2598"/>
  <c r="D44" i="2598" s="1"/>
  <c r="B2" i="2598"/>
  <c r="M4" i="2598"/>
  <c r="M5" i="2598"/>
  <c r="M6" i="2598"/>
  <c r="D2" i="2599"/>
  <c r="D27" i="2599" s="1"/>
  <c r="B2" i="2599"/>
  <c r="M4" i="2599"/>
  <c r="M5" i="2599"/>
  <c r="M6" i="2599"/>
  <c r="D2" i="2600"/>
  <c r="D27" i="2600" s="1"/>
  <c r="B2" i="2600"/>
  <c r="M4" i="2600"/>
  <c r="M5" i="2600"/>
  <c r="M6" i="2600"/>
  <c r="D2" i="2601"/>
  <c r="D26" i="2601" s="1"/>
  <c r="B2" i="2601"/>
  <c r="M4" i="2601"/>
  <c r="M5" i="2601"/>
  <c r="M6" i="2601"/>
  <c r="D2" i="2602"/>
  <c r="D26" i="2602" s="1"/>
  <c r="B2" i="2602"/>
  <c r="M4" i="2602"/>
  <c r="M5" i="2602"/>
  <c r="M6" i="2602"/>
  <c r="D2" i="2603"/>
  <c r="D29" i="2603" s="1"/>
  <c r="B2" i="2603"/>
  <c r="M4" i="2603"/>
  <c r="M5" i="2603"/>
  <c r="M6" i="2603"/>
  <c r="D2" i="2604"/>
  <c r="D31" i="2604" s="1"/>
  <c r="B2" i="2604"/>
  <c r="M4" i="2604"/>
  <c r="M5" i="2604"/>
  <c r="M6" i="2604"/>
  <c r="D2" i="2605"/>
  <c r="D27" i="2605" s="1"/>
  <c r="B2" i="2605"/>
  <c r="M4" i="2605"/>
  <c r="M5" i="2605"/>
  <c r="M6" i="2605"/>
  <c r="D2" i="2606"/>
  <c r="D27" i="2606" s="1"/>
  <c r="B2" i="2606"/>
  <c r="M4" i="2606"/>
  <c r="M5" i="2606"/>
  <c r="M6" i="2606"/>
  <c r="D2" i="2607"/>
  <c r="D30" i="2607" s="1"/>
  <c r="B2" i="2607"/>
  <c r="M4" i="2607"/>
  <c r="M5" i="2607"/>
  <c r="M6" i="2607"/>
  <c r="D2" i="2608"/>
  <c r="D30" i="2608" s="1"/>
  <c r="B2" i="2608"/>
  <c r="M4" i="2608"/>
  <c r="M5" i="2608"/>
  <c r="M6" i="2608"/>
  <c r="D2" i="2609"/>
  <c r="D27" i="2609" s="1"/>
  <c r="B2" i="2609"/>
  <c r="M4" i="2609"/>
  <c r="M5" i="2609"/>
  <c r="M6" i="2609"/>
  <c r="D2" i="2610"/>
  <c r="D38" i="2610" s="1"/>
  <c r="B2" i="2610"/>
  <c r="M4" i="2610"/>
  <c r="M5" i="2610"/>
  <c r="M6" i="2610"/>
  <c r="D2" i="2611"/>
  <c r="D26" i="2611" s="1"/>
  <c r="B2" i="2611"/>
  <c r="M4" i="2611"/>
  <c r="M5" i="2611"/>
  <c r="M6" i="2611"/>
  <c r="D2" i="2612"/>
  <c r="D28" i="2612" s="1"/>
  <c r="B2" i="2612"/>
  <c r="M4" i="2612"/>
  <c r="M5" i="2612"/>
  <c r="M6" i="2612"/>
  <c r="D2" i="2613"/>
  <c r="D27" i="2613" s="1"/>
  <c r="B2" i="2613"/>
  <c r="M4" i="2613"/>
  <c r="M5" i="2613"/>
  <c r="M6" i="2613"/>
  <c r="D2" i="2614"/>
  <c r="D30" i="2614" s="1"/>
  <c r="B2" i="2614"/>
  <c r="M4" i="2614"/>
  <c r="M5" i="2614"/>
  <c r="M6" i="2614"/>
  <c r="D2" i="2615"/>
  <c r="D27" i="2615" s="1"/>
  <c r="B2" i="2615"/>
  <c r="M4" i="2615"/>
  <c r="M5" i="2615"/>
  <c r="M6" i="2615"/>
  <c r="D2" i="2616"/>
  <c r="D32" i="2616" s="1"/>
  <c r="B2" i="2616"/>
  <c r="M4" i="2616"/>
  <c r="M5" i="2616"/>
  <c r="M6" i="2616"/>
  <c r="D2" i="2617"/>
  <c r="D27" i="2617" s="1"/>
  <c r="B2" i="2617"/>
  <c r="M4" i="2617"/>
  <c r="M5" i="2617"/>
  <c r="M6" i="2617"/>
  <c r="D2" i="2618"/>
  <c r="D27" i="2618" s="1"/>
  <c r="B2" i="2618"/>
  <c r="M4" i="2618"/>
  <c r="M5" i="2618"/>
  <c r="M6" i="2618"/>
  <c r="D2" i="2619"/>
  <c r="D30" i="2619" s="1"/>
  <c r="B2" i="2619"/>
  <c r="M4" i="2619"/>
  <c r="M5" i="2619"/>
  <c r="M6" i="2619"/>
  <c r="D2" i="2620"/>
  <c r="D27" i="2620" s="1"/>
  <c r="B2" i="2620"/>
  <c r="M4" i="2620"/>
  <c r="M5" i="2620"/>
  <c r="M6" i="2620"/>
  <c r="D2" i="2621"/>
  <c r="D37" i="2621" s="1"/>
  <c r="B2" i="2621"/>
  <c r="M4" i="2621"/>
  <c r="M5" i="2621"/>
  <c r="M6" i="2621"/>
  <c r="D2" i="2622"/>
  <c r="D27" i="2622" s="1"/>
  <c r="B2" i="2622"/>
  <c r="M4" i="2622"/>
  <c r="M5" i="2622"/>
  <c r="M6" i="2622"/>
  <c r="D2" i="2623"/>
  <c r="D27" i="2623" s="1"/>
  <c r="B2" i="2623"/>
  <c r="M4" i="2623"/>
  <c r="M5" i="2623"/>
  <c r="M6" i="2623"/>
  <c r="D2" i="2624"/>
  <c r="D26" i="2624" s="1"/>
  <c r="B2" i="2624"/>
  <c r="M4" i="2624"/>
  <c r="M5" i="2624"/>
  <c r="M6" i="2624"/>
  <c r="D2" i="2625"/>
  <c r="D26" i="2625" s="1"/>
  <c r="B2" i="2625"/>
  <c r="M4" i="2625"/>
  <c r="M5" i="2625"/>
  <c r="M6" i="2625"/>
  <c r="D2" i="2626"/>
  <c r="D28" i="2626" s="1"/>
  <c r="B2" i="2626"/>
  <c r="M4" i="2626"/>
  <c r="M5" i="2626"/>
  <c r="M6" i="2626"/>
  <c r="D2" i="2627"/>
  <c r="D28" i="2627" s="1"/>
  <c r="B2" i="2627"/>
  <c r="M4" i="2627"/>
  <c r="M5" i="2627"/>
  <c r="M6" i="2627"/>
  <c r="D2" i="2628"/>
  <c r="D27" i="2628" s="1"/>
  <c r="B2" i="2628"/>
  <c r="M4" i="2628"/>
  <c r="M5" i="2628"/>
  <c r="M6" i="2628"/>
  <c r="D2" i="2629"/>
  <c r="D27" i="2629" s="1"/>
  <c r="B2" i="2629"/>
  <c r="M4" i="2629"/>
  <c r="M5" i="2629"/>
  <c r="M6" i="2629"/>
  <c r="D2" i="2630"/>
  <c r="D30" i="2630" s="1"/>
  <c r="B2" i="2630"/>
  <c r="M4" i="2630"/>
  <c r="M5" i="2630"/>
  <c r="M6" i="2630"/>
  <c r="D2" i="2631"/>
  <c r="D27" i="2631" s="1"/>
  <c r="B2" i="2631"/>
  <c r="M4" i="2631"/>
  <c r="M5" i="2631"/>
  <c r="M6" i="2631"/>
  <c r="D2" i="2632"/>
  <c r="D27" i="2632" s="1"/>
  <c r="B2" i="2632"/>
  <c r="M4" i="2632"/>
  <c r="M5" i="2632"/>
  <c r="M6" i="2632"/>
  <c r="D2" i="2633"/>
  <c r="D34" i="2633" s="1"/>
  <c r="B2" i="2633"/>
  <c r="M4" i="2633"/>
  <c r="M5" i="2633"/>
  <c r="M6" i="2633"/>
  <c r="F9" i="2542"/>
  <c r="F8" i="2542"/>
  <c r="F9" i="2543"/>
  <c r="F8" i="2543"/>
  <c r="F9" i="2544"/>
  <c r="F8" i="2544"/>
  <c r="F9" i="2545"/>
  <c r="F8" i="2545"/>
  <c r="F9" i="2546"/>
  <c r="F8" i="2546"/>
  <c r="F9" i="2547"/>
  <c r="F8" i="2547"/>
  <c r="F9" i="2548"/>
  <c r="F8" i="2548"/>
  <c r="F9" i="2549"/>
  <c r="F8" i="2549"/>
  <c r="F9" i="2550"/>
  <c r="F8" i="2550"/>
  <c r="F9" i="2551"/>
  <c r="F8" i="2551"/>
  <c r="F9" i="2552"/>
  <c r="F8" i="2552"/>
  <c r="F9" i="2553"/>
  <c r="F8" i="2553"/>
  <c r="F9" i="2554"/>
  <c r="F8" i="2554"/>
  <c r="F9" i="2555"/>
  <c r="F8" i="2555"/>
  <c r="F9" i="2556"/>
  <c r="F8" i="2556"/>
  <c r="F9" i="2557"/>
  <c r="F8" i="2557"/>
  <c r="F9" i="2558"/>
  <c r="F8" i="2558"/>
  <c r="F9" i="2559"/>
  <c r="F8" i="2559"/>
  <c r="F9" i="2560"/>
  <c r="F8" i="2560"/>
  <c r="F9" i="2561"/>
  <c r="F8" i="2561"/>
  <c r="F9" i="2562"/>
  <c r="F8" i="2562"/>
  <c r="F9" i="2563"/>
  <c r="F8" i="2563"/>
  <c r="F9" i="2564"/>
  <c r="F8" i="2564"/>
  <c r="F9" i="2565"/>
  <c r="F8" i="2565"/>
  <c r="F9" i="2566"/>
  <c r="F8" i="2566"/>
  <c r="F9" i="2567"/>
  <c r="F8" i="2567"/>
  <c r="F9" i="2568"/>
  <c r="F8" i="2568"/>
  <c r="F9" i="2569"/>
  <c r="F8" i="2569"/>
  <c r="F9" i="2570"/>
  <c r="F8" i="2570"/>
  <c r="F9" i="2571"/>
  <c r="F8" i="2571"/>
  <c r="F9" i="2572"/>
  <c r="F8" i="2572"/>
  <c r="F9" i="2573"/>
  <c r="F8" i="2573"/>
  <c r="F9" i="2574"/>
  <c r="F8" i="2574"/>
  <c r="F9" i="2575"/>
  <c r="F8" i="2575"/>
  <c r="F9" i="2576"/>
  <c r="F8" i="2576"/>
  <c r="F9" i="2577"/>
  <c r="F8" i="2577"/>
  <c r="F9" i="2578"/>
  <c r="F8" i="2578"/>
  <c r="F9" i="2579"/>
  <c r="F8" i="2579"/>
  <c r="F9" i="2580"/>
  <c r="F8" i="2580"/>
  <c r="F9" i="2581"/>
  <c r="F8" i="2581"/>
  <c r="F9" i="2582"/>
  <c r="F8" i="2582"/>
  <c r="F9" i="2583"/>
  <c r="F8" i="2583"/>
  <c r="F9" i="2584"/>
  <c r="F8" i="2584"/>
  <c r="F9" i="2585"/>
  <c r="F8" i="2585"/>
  <c r="F9" i="2586"/>
  <c r="F8" i="2586"/>
  <c r="F9" i="2587"/>
  <c r="F8" i="2587"/>
  <c r="F9" i="2588"/>
  <c r="F8" i="2588"/>
  <c r="F9" i="2589"/>
  <c r="F8" i="2589"/>
  <c r="F9" i="2590"/>
  <c r="F8" i="2590"/>
  <c r="F9" i="2591"/>
  <c r="F8" i="2591"/>
  <c r="F9" i="2592"/>
  <c r="F8" i="2592"/>
  <c r="F9" i="2593"/>
  <c r="F8" i="2593"/>
  <c r="F9" i="2594"/>
  <c r="F8" i="2594"/>
  <c r="F9" i="2595"/>
  <c r="F8" i="2595"/>
  <c r="F9" i="2596"/>
  <c r="F8" i="2596"/>
  <c r="F9" i="2597"/>
  <c r="F8" i="2597"/>
  <c r="F9" i="2598"/>
  <c r="F8" i="2598"/>
  <c r="F9" i="2599"/>
  <c r="F8" i="2599"/>
  <c r="F9" i="2600"/>
  <c r="F8" i="2600"/>
  <c r="F9" i="2601"/>
  <c r="F8" i="2601"/>
  <c r="F9" i="2602"/>
  <c r="F8" i="2602"/>
  <c r="F9" i="2603"/>
  <c r="F8" i="2603"/>
  <c r="F9" i="2604"/>
  <c r="F8" i="2604"/>
  <c r="F9" i="2605"/>
  <c r="F8" i="2605"/>
  <c r="F9" i="2606"/>
  <c r="F8" i="2606"/>
  <c r="F9" i="2607"/>
  <c r="F8" i="2607"/>
  <c r="F9" i="2608"/>
  <c r="F8" i="2608"/>
  <c r="F9" i="2609"/>
  <c r="F8" i="2609"/>
  <c r="F9" i="2610"/>
  <c r="F8" i="2610"/>
  <c r="F9" i="2611"/>
  <c r="F8" i="2611"/>
  <c r="F9" i="2612"/>
  <c r="F8" i="2612"/>
  <c r="F9" i="2613"/>
  <c r="F8" i="2613"/>
  <c r="F9" i="2614"/>
  <c r="F8" i="2614"/>
  <c r="F9" i="2615"/>
  <c r="F8" i="2615"/>
  <c r="F9" i="2616"/>
  <c r="F8" i="2616"/>
  <c r="F9" i="2617"/>
  <c r="F8" i="2617"/>
  <c r="F9" i="2618"/>
  <c r="F8" i="2618"/>
  <c r="F9" i="2619"/>
  <c r="F8" i="2619"/>
  <c r="F9" i="2620"/>
  <c r="F8" i="2620"/>
  <c r="F9" i="2621"/>
  <c r="F8" i="2621"/>
  <c r="F9" i="2622"/>
  <c r="F8" i="2622"/>
  <c r="F9" i="2623"/>
  <c r="F8" i="2623"/>
  <c r="F9" i="2624"/>
  <c r="F8" i="2624"/>
  <c r="F9" i="2625"/>
  <c r="F8" i="2625"/>
  <c r="F9" i="2626"/>
  <c r="F8" i="2626"/>
  <c r="F9" i="2627"/>
  <c r="F8" i="2627"/>
  <c r="F9" i="2628"/>
  <c r="F8" i="2628"/>
  <c r="F9" i="2629"/>
  <c r="F8" i="2629"/>
  <c r="F9" i="2630"/>
  <c r="F8" i="2630"/>
  <c r="F9" i="2631"/>
  <c r="F8" i="2631"/>
  <c r="F9" i="2632"/>
  <c r="F8" i="2632"/>
  <c r="F9" i="2633"/>
  <c r="F8" i="2633"/>
  <c r="B2" i="3"/>
  <c r="D2" i="3"/>
  <c r="D27" i="3" s="1"/>
  <c r="M4" i="3"/>
  <c r="M5" i="3"/>
  <c r="M6" i="3"/>
  <c r="B2" i="4"/>
  <c r="D2" i="4"/>
  <c r="D26" i="4" s="1"/>
  <c r="M4" i="4"/>
  <c r="M5" i="4"/>
  <c r="M6" i="4"/>
  <c r="B2" i="5"/>
  <c r="D2" i="5"/>
  <c r="D26" i="5" s="1"/>
  <c r="M4" i="5"/>
  <c r="M5" i="5"/>
  <c r="M6" i="5"/>
  <c r="B2" i="6"/>
  <c r="D2" i="6"/>
  <c r="D26" i="6" s="1"/>
  <c r="M4" i="6"/>
  <c r="M5" i="6"/>
  <c r="M6" i="6"/>
  <c r="F31" i="3"/>
  <c r="F30" i="4"/>
  <c r="F30" i="5"/>
  <c r="F30" i="6"/>
  <c r="F8" i="3"/>
  <c r="F9" i="3"/>
  <c r="F8" i="4"/>
  <c r="F9" i="4"/>
  <c r="F8" i="5"/>
  <c r="F9" i="5"/>
  <c r="F8" i="6"/>
  <c r="F9" i="6"/>
  <c r="D6" i="1088"/>
  <c r="D6" i="1089"/>
  <c r="F30" i="3"/>
  <c r="F29" i="4"/>
  <c r="F29" i="5"/>
  <c r="F29" i="6"/>
  <c r="E29" i="1089" l="1"/>
  <c r="E30" i="1089" s="1"/>
  <c r="E31" i="1089" s="1"/>
  <c r="E32" i="1089" s="1"/>
  <c r="E33" i="1089" s="1"/>
  <c r="E34" i="1089" s="1"/>
  <c r="E35" i="1089" s="1"/>
  <c r="E36" i="1089" s="1"/>
  <c r="E37" i="1089" s="1"/>
  <c r="E38" i="1089" s="1"/>
  <c r="E39" i="1089" s="1"/>
  <c r="E40" i="1089" s="1"/>
  <c r="E41" i="1089" s="1"/>
  <c r="E42" i="1089" s="1"/>
  <c r="E12" i="1089"/>
  <c r="E13" i="1089" s="1"/>
  <c r="G11" i="1089"/>
  <c r="G28" i="1089"/>
  <c r="E29" i="1088"/>
  <c r="E30" i="1088" s="1"/>
  <c r="E31" i="1088" s="1"/>
  <c r="E32" i="1088" s="1"/>
  <c r="E33" i="1088" s="1"/>
  <c r="E34" i="1088" s="1"/>
  <c r="E35" i="1088" s="1"/>
  <c r="E36" i="1088" s="1"/>
  <c r="E37" i="1088" s="1"/>
  <c r="E38" i="1088" s="1"/>
  <c r="E39" i="1088" s="1"/>
  <c r="E40" i="1088" s="1"/>
  <c r="E41" i="1088" s="1"/>
  <c r="E42" i="1088" s="1"/>
  <c r="E12" i="1088"/>
  <c r="E13" i="1088" s="1"/>
  <c r="G11" i="1088"/>
  <c r="G28" i="1088"/>
  <c r="B31" i="2633"/>
  <c r="B30" i="2633" s="1"/>
  <c r="B29" i="2633" s="1"/>
  <c r="B33" i="2633"/>
  <c r="B34" i="2633" s="1"/>
  <c r="B24" i="2632"/>
  <c r="B23" i="2632" s="1"/>
  <c r="B22" i="2632" s="1"/>
  <c r="B21" i="2632" s="1"/>
  <c r="B20" i="2632" s="1"/>
  <c r="B19" i="2632" s="1"/>
  <c r="B18" i="2632" s="1"/>
  <c r="B17" i="2632" s="1"/>
  <c r="B16" i="2632" s="1"/>
  <c r="B15" i="2632" s="1"/>
  <c r="B26" i="2632"/>
  <c r="B27" i="2632" s="1"/>
  <c r="B24" i="2631"/>
  <c r="B23" i="2631" s="1"/>
  <c r="B22" i="2631" s="1"/>
  <c r="B21" i="2631" s="1"/>
  <c r="B20" i="2631" s="1"/>
  <c r="B19" i="2631" s="1"/>
  <c r="B18" i="2631" s="1"/>
  <c r="B17" i="2631" s="1"/>
  <c r="B16" i="2631" s="1"/>
  <c r="B15" i="2631" s="1"/>
  <c r="B26" i="2631"/>
  <c r="B27" i="2631" s="1"/>
  <c r="B27" i="2630"/>
  <c r="B26" i="2630" s="1"/>
  <c r="B25" i="2630" s="1"/>
  <c r="B24" i="2630" s="1"/>
  <c r="B23" i="2630" s="1"/>
  <c r="B22" i="2630" s="1"/>
  <c r="B21" i="2630" s="1"/>
  <c r="B29" i="2630"/>
  <c r="B30" i="2630" s="1"/>
  <c r="B24" i="2629"/>
  <c r="B23" i="2629" s="1"/>
  <c r="B22" i="2629" s="1"/>
  <c r="B21" i="2629" s="1"/>
  <c r="B20" i="2629" s="1"/>
  <c r="B19" i="2629" s="1"/>
  <c r="B18" i="2629" s="1"/>
  <c r="B17" i="2629" s="1"/>
  <c r="B16" i="2629" s="1"/>
  <c r="B15" i="2629" s="1"/>
  <c r="B26" i="2629"/>
  <c r="B27" i="2629" s="1"/>
  <c r="B24" i="2628"/>
  <c r="B23" i="2628" s="1"/>
  <c r="B22" i="2628" s="1"/>
  <c r="B21" i="2628" s="1"/>
  <c r="B20" i="2628" s="1"/>
  <c r="B19" i="2628" s="1"/>
  <c r="B18" i="2628" s="1"/>
  <c r="B17" i="2628" s="1"/>
  <c r="B16" i="2628" s="1"/>
  <c r="B15" i="2628" s="1"/>
  <c r="B26" i="2628"/>
  <c r="B27" i="2628" s="1"/>
  <c r="B25" i="2627"/>
  <c r="B24" i="2627" s="1"/>
  <c r="B23" i="2627" s="1"/>
  <c r="B22" i="2627" s="1"/>
  <c r="B21" i="2627" s="1"/>
  <c r="B20" i="2627" s="1"/>
  <c r="B19" i="2627" s="1"/>
  <c r="B18" i="2627" s="1"/>
  <c r="B17" i="2627" s="1"/>
  <c r="B27" i="2627"/>
  <c r="B28" i="2627" s="1"/>
  <c r="B25" i="2626"/>
  <c r="B24" i="2626" s="1"/>
  <c r="B23" i="2626" s="1"/>
  <c r="B22" i="2626" s="1"/>
  <c r="B21" i="2626" s="1"/>
  <c r="B20" i="2626" s="1"/>
  <c r="B19" i="2626" s="1"/>
  <c r="B18" i="2626" s="1"/>
  <c r="B17" i="2626" s="1"/>
  <c r="B27" i="2626"/>
  <c r="B28" i="2626" s="1"/>
  <c r="B23" i="2625"/>
  <c r="B22" i="2625" s="1"/>
  <c r="B21" i="2625" s="1"/>
  <c r="B20" i="2625" s="1"/>
  <c r="B19" i="2625" s="1"/>
  <c r="B18" i="2625" s="1"/>
  <c r="B17" i="2625" s="1"/>
  <c r="B16" i="2625" s="1"/>
  <c r="B15" i="2625" s="1"/>
  <c r="B14" i="2625" s="1"/>
  <c r="B13" i="2625" s="1"/>
  <c r="B25" i="2625"/>
  <c r="B26" i="2625" s="1"/>
  <c r="B23" i="2624"/>
  <c r="B22" i="2624" s="1"/>
  <c r="B21" i="2624" s="1"/>
  <c r="B20" i="2624" s="1"/>
  <c r="B19" i="2624" s="1"/>
  <c r="B18" i="2624" s="1"/>
  <c r="B17" i="2624" s="1"/>
  <c r="B16" i="2624" s="1"/>
  <c r="B15" i="2624" s="1"/>
  <c r="B14" i="2624" s="1"/>
  <c r="B13" i="2624" s="1"/>
  <c r="B25" i="2624"/>
  <c r="B26" i="2624" s="1"/>
  <c r="B24" i="2623"/>
  <c r="B23" i="2623" s="1"/>
  <c r="B22" i="2623" s="1"/>
  <c r="B21" i="2623" s="1"/>
  <c r="B20" i="2623" s="1"/>
  <c r="B19" i="2623" s="1"/>
  <c r="B18" i="2623" s="1"/>
  <c r="B17" i="2623" s="1"/>
  <c r="B16" i="2623" s="1"/>
  <c r="B15" i="2623" s="1"/>
  <c r="B26" i="2623"/>
  <c r="B27" i="2623" s="1"/>
  <c r="B24" i="2622"/>
  <c r="B23" i="2622" s="1"/>
  <c r="B22" i="2622" s="1"/>
  <c r="B21" i="2622" s="1"/>
  <c r="B20" i="2622" s="1"/>
  <c r="B19" i="2622" s="1"/>
  <c r="B18" i="2622" s="1"/>
  <c r="B17" i="2622" s="1"/>
  <c r="B16" i="2622" s="1"/>
  <c r="B15" i="2622" s="1"/>
  <c r="B26" i="2622"/>
  <c r="B27" i="2622" s="1"/>
  <c r="B34" i="2621"/>
  <c r="B36" i="2621"/>
  <c r="B37" i="2621" s="1"/>
  <c r="B24" i="2620"/>
  <c r="B23" i="2620" s="1"/>
  <c r="B22" i="2620" s="1"/>
  <c r="B21" i="2620" s="1"/>
  <c r="B20" i="2620" s="1"/>
  <c r="B19" i="2620" s="1"/>
  <c r="B18" i="2620" s="1"/>
  <c r="B17" i="2620" s="1"/>
  <c r="B16" i="2620" s="1"/>
  <c r="B15" i="2620" s="1"/>
  <c r="B26" i="2620"/>
  <c r="B27" i="2620" s="1"/>
  <c r="B27" i="2619"/>
  <c r="B26" i="2619" s="1"/>
  <c r="B25" i="2619" s="1"/>
  <c r="B24" i="2619" s="1"/>
  <c r="B23" i="2619" s="1"/>
  <c r="B22" i="2619" s="1"/>
  <c r="B21" i="2619" s="1"/>
  <c r="B29" i="2619"/>
  <c r="B30" i="2619" s="1"/>
  <c r="B24" i="2618"/>
  <c r="B23" i="2618" s="1"/>
  <c r="B22" i="2618" s="1"/>
  <c r="B21" i="2618" s="1"/>
  <c r="B20" i="2618" s="1"/>
  <c r="B19" i="2618" s="1"/>
  <c r="B18" i="2618" s="1"/>
  <c r="B17" i="2618" s="1"/>
  <c r="B16" i="2618" s="1"/>
  <c r="B15" i="2618" s="1"/>
  <c r="B26" i="2618"/>
  <c r="B27" i="2618" s="1"/>
  <c r="B24" i="2617"/>
  <c r="B23" i="2617" s="1"/>
  <c r="B22" i="2617" s="1"/>
  <c r="B21" i="2617" s="1"/>
  <c r="B20" i="2617" s="1"/>
  <c r="B19" i="2617" s="1"/>
  <c r="B18" i="2617" s="1"/>
  <c r="B17" i="2617" s="1"/>
  <c r="B16" i="2617" s="1"/>
  <c r="B15" i="2617" s="1"/>
  <c r="B26" i="2617"/>
  <c r="B27" i="2617" s="1"/>
  <c r="B29" i="2616"/>
  <c r="B28" i="2616" s="1"/>
  <c r="B27" i="2616" s="1"/>
  <c r="B26" i="2616" s="1"/>
  <c r="B25" i="2616" s="1"/>
  <c r="B31" i="2616"/>
  <c r="B32" i="2616" s="1"/>
  <c r="B24" i="2615"/>
  <c r="B23" i="2615" s="1"/>
  <c r="B22" i="2615" s="1"/>
  <c r="B21" i="2615" s="1"/>
  <c r="B20" i="2615" s="1"/>
  <c r="B19" i="2615" s="1"/>
  <c r="B18" i="2615" s="1"/>
  <c r="B17" i="2615" s="1"/>
  <c r="B16" i="2615" s="1"/>
  <c r="B15" i="2615" s="1"/>
  <c r="B26" i="2615"/>
  <c r="B27" i="2615" s="1"/>
  <c r="B27" i="2614"/>
  <c r="B26" i="2614" s="1"/>
  <c r="B25" i="2614" s="1"/>
  <c r="B24" i="2614" s="1"/>
  <c r="B23" i="2614" s="1"/>
  <c r="B22" i="2614" s="1"/>
  <c r="B21" i="2614" s="1"/>
  <c r="B29" i="2614"/>
  <c r="B30" i="2614" s="1"/>
  <c r="B24" i="2613"/>
  <c r="B23" i="2613" s="1"/>
  <c r="B22" i="2613" s="1"/>
  <c r="B21" i="2613" s="1"/>
  <c r="B20" i="2613" s="1"/>
  <c r="B19" i="2613" s="1"/>
  <c r="B18" i="2613" s="1"/>
  <c r="B17" i="2613" s="1"/>
  <c r="B16" i="2613" s="1"/>
  <c r="B15" i="2613" s="1"/>
  <c r="B26" i="2613"/>
  <c r="B27" i="2613" s="1"/>
  <c r="B25" i="2612"/>
  <c r="B24" i="2612" s="1"/>
  <c r="B23" i="2612" s="1"/>
  <c r="B22" i="2612" s="1"/>
  <c r="B21" i="2612" s="1"/>
  <c r="B20" i="2612" s="1"/>
  <c r="B19" i="2612" s="1"/>
  <c r="B18" i="2612" s="1"/>
  <c r="B17" i="2612" s="1"/>
  <c r="B27" i="2612"/>
  <c r="B28" i="2612" s="1"/>
  <c r="B23" i="2611"/>
  <c r="B22" i="2611" s="1"/>
  <c r="B21" i="2611" s="1"/>
  <c r="B20" i="2611" s="1"/>
  <c r="B19" i="2611" s="1"/>
  <c r="B18" i="2611" s="1"/>
  <c r="B17" i="2611" s="1"/>
  <c r="B16" i="2611" s="1"/>
  <c r="B15" i="2611" s="1"/>
  <c r="B14" i="2611" s="1"/>
  <c r="B13" i="2611" s="1"/>
  <c r="B25" i="2611"/>
  <c r="B26" i="2611" s="1"/>
  <c r="B31" i="2610"/>
  <c r="B30" i="2610" s="1"/>
  <c r="B29" i="2610" s="1"/>
  <c r="B37" i="2610"/>
  <c r="B38" i="2610" s="1"/>
  <c r="B24" i="2609"/>
  <c r="B23" i="2609" s="1"/>
  <c r="B22" i="2609" s="1"/>
  <c r="B21" i="2609" s="1"/>
  <c r="B20" i="2609" s="1"/>
  <c r="B19" i="2609" s="1"/>
  <c r="B18" i="2609" s="1"/>
  <c r="B17" i="2609" s="1"/>
  <c r="B16" i="2609" s="1"/>
  <c r="B15" i="2609" s="1"/>
  <c r="B26" i="2609"/>
  <c r="B27" i="2609" s="1"/>
  <c r="B24" i="2608"/>
  <c r="B23" i="2608" s="1"/>
  <c r="B22" i="2608" s="1"/>
  <c r="B21" i="2608" s="1"/>
  <c r="B20" i="2608" s="1"/>
  <c r="B19" i="2608" s="1"/>
  <c r="B18" i="2608" s="1"/>
  <c r="B17" i="2608" s="1"/>
  <c r="B16" i="2608" s="1"/>
  <c r="B15" i="2608" s="1"/>
  <c r="B29" i="2608"/>
  <c r="B30" i="2608" s="1"/>
  <c r="B27" i="2607"/>
  <c r="B26" i="2607" s="1"/>
  <c r="B25" i="2607" s="1"/>
  <c r="B24" i="2607" s="1"/>
  <c r="B23" i="2607" s="1"/>
  <c r="B22" i="2607" s="1"/>
  <c r="B21" i="2607" s="1"/>
  <c r="B29" i="2607"/>
  <c r="B30" i="2607" s="1"/>
  <c r="B24" i="2606"/>
  <c r="B23" i="2606" s="1"/>
  <c r="B22" i="2606" s="1"/>
  <c r="B21" i="2606" s="1"/>
  <c r="B20" i="2606" s="1"/>
  <c r="B19" i="2606" s="1"/>
  <c r="B18" i="2606" s="1"/>
  <c r="B17" i="2606" s="1"/>
  <c r="B16" i="2606" s="1"/>
  <c r="B15" i="2606" s="1"/>
  <c r="B26" i="2606"/>
  <c r="B27" i="2606" s="1"/>
  <c r="B24" i="2605"/>
  <c r="B23" i="2605" s="1"/>
  <c r="B22" i="2605" s="1"/>
  <c r="B21" i="2605" s="1"/>
  <c r="B20" i="2605" s="1"/>
  <c r="B19" i="2605" s="1"/>
  <c r="B18" i="2605" s="1"/>
  <c r="B17" i="2605" s="1"/>
  <c r="B16" i="2605" s="1"/>
  <c r="B15" i="2605" s="1"/>
  <c r="B26" i="2605"/>
  <c r="B27" i="2605" s="1"/>
  <c r="B25" i="2604"/>
  <c r="B24" i="2604" s="1"/>
  <c r="B23" i="2604" s="1"/>
  <c r="B22" i="2604" s="1"/>
  <c r="B21" i="2604" s="1"/>
  <c r="B20" i="2604" s="1"/>
  <c r="B19" i="2604" s="1"/>
  <c r="B18" i="2604" s="1"/>
  <c r="B17" i="2604" s="1"/>
  <c r="B30" i="2604"/>
  <c r="B31" i="2604" s="1"/>
  <c r="B25" i="2603"/>
  <c r="B24" i="2603" s="1"/>
  <c r="B23" i="2603" s="1"/>
  <c r="B22" i="2603" s="1"/>
  <c r="B21" i="2603" s="1"/>
  <c r="B20" i="2603" s="1"/>
  <c r="B19" i="2603" s="1"/>
  <c r="B18" i="2603" s="1"/>
  <c r="B17" i="2603" s="1"/>
  <c r="B28" i="2603"/>
  <c r="B29" i="2603" s="1"/>
  <c r="B23" i="2602"/>
  <c r="B22" i="2602" s="1"/>
  <c r="B21" i="2602" s="1"/>
  <c r="B20" i="2602" s="1"/>
  <c r="B19" i="2602" s="1"/>
  <c r="B18" i="2602" s="1"/>
  <c r="B17" i="2602" s="1"/>
  <c r="B16" i="2602" s="1"/>
  <c r="B15" i="2602" s="1"/>
  <c r="B14" i="2602" s="1"/>
  <c r="B13" i="2602" s="1"/>
  <c r="B25" i="2602"/>
  <c r="B26" i="2602" s="1"/>
  <c r="B23" i="2601"/>
  <c r="B22" i="2601" s="1"/>
  <c r="B21" i="2601" s="1"/>
  <c r="B20" i="2601" s="1"/>
  <c r="B19" i="2601" s="1"/>
  <c r="B18" i="2601" s="1"/>
  <c r="B17" i="2601" s="1"/>
  <c r="B16" i="2601" s="1"/>
  <c r="B15" i="2601" s="1"/>
  <c r="B14" i="2601" s="1"/>
  <c r="B13" i="2601" s="1"/>
  <c r="B25" i="2601"/>
  <c r="B26" i="2601" s="1"/>
  <c r="B24" i="2600"/>
  <c r="B23" i="2600" s="1"/>
  <c r="B22" i="2600" s="1"/>
  <c r="B21" i="2600" s="1"/>
  <c r="B20" i="2600" s="1"/>
  <c r="B19" i="2600" s="1"/>
  <c r="B18" i="2600" s="1"/>
  <c r="B17" i="2600" s="1"/>
  <c r="B16" i="2600" s="1"/>
  <c r="B15" i="2600" s="1"/>
  <c r="B26" i="2600"/>
  <c r="B27" i="2600" s="1"/>
  <c r="B24" i="2599"/>
  <c r="B23" i="2599" s="1"/>
  <c r="B22" i="2599" s="1"/>
  <c r="B21" i="2599" s="1"/>
  <c r="B20" i="2599" s="1"/>
  <c r="B19" i="2599" s="1"/>
  <c r="B18" i="2599" s="1"/>
  <c r="B17" i="2599" s="1"/>
  <c r="B16" i="2599" s="1"/>
  <c r="B15" i="2599" s="1"/>
  <c r="B26" i="2599"/>
  <c r="B27" i="2599" s="1"/>
  <c r="B34" i="2598"/>
  <c r="B43" i="2598"/>
  <c r="B44" i="2598" s="1"/>
  <c r="B24" i="2597"/>
  <c r="B23" i="2597" s="1"/>
  <c r="B22" i="2597" s="1"/>
  <c r="B21" i="2597" s="1"/>
  <c r="B20" i="2597" s="1"/>
  <c r="B19" i="2597" s="1"/>
  <c r="B18" i="2597" s="1"/>
  <c r="B17" i="2597" s="1"/>
  <c r="B16" i="2597" s="1"/>
  <c r="B15" i="2597" s="1"/>
  <c r="B26" i="2597"/>
  <c r="B27" i="2597" s="1"/>
  <c r="B27" i="2596"/>
  <c r="B26" i="2596" s="1"/>
  <c r="B25" i="2596" s="1"/>
  <c r="B24" i="2596" s="1"/>
  <c r="B23" i="2596" s="1"/>
  <c r="B22" i="2596" s="1"/>
  <c r="B21" i="2596" s="1"/>
  <c r="B30" i="2596"/>
  <c r="B31" i="2596" s="1"/>
  <c r="B24" i="2595"/>
  <c r="B23" i="2595" s="1"/>
  <c r="B22" i="2595" s="1"/>
  <c r="B21" i="2595" s="1"/>
  <c r="B20" i="2595" s="1"/>
  <c r="B19" i="2595" s="1"/>
  <c r="B18" i="2595" s="1"/>
  <c r="B17" i="2595" s="1"/>
  <c r="B16" i="2595" s="1"/>
  <c r="B15" i="2595" s="1"/>
  <c r="B26" i="2595"/>
  <c r="B27" i="2595" s="1"/>
  <c r="B24" i="2594"/>
  <c r="B23" i="2594" s="1"/>
  <c r="B22" i="2594" s="1"/>
  <c r="B21" i="2594" s="1"/>
  <c r="B20" i="2594" s="1"/>
  <c r="B19" i="2594" s="1"/>
  <c r="B18" i="2594" s="1"/>
  <c r="B17" i="2594" s="1"/>
  <c r="B16" i="2594" s="1"/>
  <c r="B15" i="2594" s="1"/>
  <c r="B33" i="2594"/>
  <c r="B34" i="2594" s="1"/>
  <c r="B29" i="2593"/>
  <c r="B28" i="2593" s="1"/>
  <c r="B27" i="2593" s="1"/>
  <c r="B26" i="2593" s="1"/>
  <c r="B25" i="2593" s="1"/>
  <c r="B34" i="2593"/>
  <c r="B35" i="2593" s="1"/>
  <c r="B24" i="2592"/>
  <c r="B23" i="2592" s="1"/>
  <c r="B22" i="2592" s="1"/>
  <c r="B21" i="2592" s="1"/>
  <c r="B20" i="2592" s="1"/>
  <c r="B19" i="2592" s="1"/>
  <c r="B18" i="2592" s="1"/>
  <c r="B17" i="2592" s="1"/>
  <c r="B16" i="2592" s="1"/>
  <c r="B15" i="2592" s="1"/>
  <c r="B32" i="2592"/>
  <c r="B33" i="2592" s="1"/>
  <c r="B27" i="2591"/>
  <c r="B26" i="2591" s="1"/>
  <c r="B25" i="2591" s="1"/>
  <c r="B24" i="2591" s="1"/>
  <c r="B23" i="2591" s="1"/>
  <c r="B22" i="2591" s="1"/>
  <c r="B21" i="2591" s="1"/>
  <c r="B29" i="2591"/>
  <c r="B30" i="2591" s="1"/>
  <c r="B24" i="2590"/>
  <c r="B23" i="2590" s="1"/>
  <c r="B22" i="2590" s="1"/>
  <c r="B21" i="2590" s="1"/>
  <c r="B20" i="2590" s="1"/>
  <c r="B19" i="2590" s="1"/>
  <c r="B18" i="2590" s="1"/>
  <c r="B17" i="2590" s="1"/>
  <c r="B16" i="2590" s="1"/>
  <c r="B15" i="2590" s="1"/>
  <c r="B26" i="2590"/>
  <c r="B27" i="2590" s="1"/>
  <c r="B25" i="2589"/>
  <c r="B24" i="2589" s="1"/>
  <c r="B23" i="2589" s="1"/>
  <c r="B22" i="2589" s="1"/>
  <c r="B21" i="2589" s="1"/>
  <c r="B20" i="2589" s="1"/>
  <c r="B19" i="2589" s="1"/>
  <c r="B18" i="2589" s="1"/>
  <c r="B17" i="2589" s="1"/>
  <c r="B27" i="2589"/>
  <c r="B28" i="2589" s="1"/>
  <c r="B23" i="2588"/>
  <c r="B22" i="2588" s="1"/>
  <c r="B21" i="2588" s="1"/>
  <c r="B20" i="2588" s="1"/>
  <c r="B19" i="2588" s="1"/>
  <c r="B18" i="2588" s="1"/>
  <c r="B17" i="2588" s="1"/>
  <c r="B16" i="2588" s="1"/>
  <c r="B15" i="2588" s="1"/>
  <c r="B14" i="2588" s="1"/>
  <c r="B13" i="2588" s="1"/>
  <c r="B25" i="2588"/>
  <c r="B26" i="2588" s="1"/>
  <c r="B31" i="2587"/>
  <c r="B30" i="2587" s="1"/>
  <c r="B29" i="2587" s="1"/>
  <c r="B33" i="2587"/>
  <c r="B34" i="2587" s="1"/>
  <c r="B24" i="2586"/>
  <c r="B23" i="2586" s="1"/>
  <c r="B22" i="2586" s="1"/>
  <c r="B21" i="2586" s="1"/>
  <c r="B20" i="2586" s="1"/>
  <c r="B19" i="2586" s="1"/>
  <c r="B18" i="2586" s="1"/>
  <c r="B17" i="2586" s="1"/>
  <c r="B16" i="2586" s="1"/>
  <c r="B15" i="2586" s="1"/>
  <c r="B26" i="2586"/>
  <c r="B27" i="2586" s="1"/>
  <c r="B24" i="2585"/>
  <c r="B23" i="2585" s="1"/>
  <c r="B22" i="2585" s="1"/>
  <c r="B21" i="2585" s="1"/>
  <c r="B20" i="2585" s="1"/>
  <c r="B19" i="2585" s="1"/>
  <c r="B18" i="2585" s="1"/>
  <c r="B17" i="2585" s="1"/>
  <c r="B16" i="2585" s="1"/>
  <c r="B15" i="2585" s="1"/>
  <c r="B26" i="2585"/>
  <c r="B27" i="2585" s="1"/>
  <c r="B27" i="2584"/>
  <c r="B26" i="2584" s="1"/>
  <c r="B25" i="2584" s="1"/>
  <c r="B24" i="2584" s="1"/>
  <c r="B23" i="2584" s="1"/>
  <c r="B22" i="2584" s="1"/>
  <c r="B21" i="2584" s="1"/>
  <c r="B29" i="2584"/>
  <c r="B30" i="2584" s="1"/>
  <c r="B24" i="2583"/>
  <c r="B23" i="2583" s="1"/>
  <c r="B22" i="2583" s="1"/>
  <c r="B21" i="2583" s="1"/>
  <c r="B20" i="2583" s="1"/>
  <c r="B19" i="2583" s="1"/>
  <c r="B18" i="2583" s="1"/>
  <c r="B17" i="2583" s="1"/>
  <c r="B16" i="2583" s="1"/>
  <c r="B15" i="2583" s="1"/>
  <c r="B26" i="2583"/>
  <c r="B27" i="2583" s="1"/>
  <c r="B24" i="2582"/>
  <c r="B23" i="2582" s="1"/>
  <c r="B22" i="2582" s="1"/>
  <c r="B21" i="2582" s="1"/>
  <c r="B20" i="2582" s="1"/>
  <c r="B19" i="2582" s="1"/>
  <c r="B18" i="2582" s="1"/>
  <c r="B17" i="2582" s="1"/>
  <c r="B16" i="2582" s="1"/>
  <c r="B15" i="2582" s="1"/>
  <c r="B26" i="2582"/>
  <c r="B27" i="2582" s="1"/>
  <c r="B25" i="2581"/>
  <c r="B24" i="2581" s="1"/>
  <c r="B23" i="2581" s="1"/>
  <c r="B22" i="2581" s="1"/>
  <c r="B21" i="2581" s="1"/>
  <c r="B20" i="2581" s="1"/>
  <c r="B19" i="2581" s="1"/>
  <c r="B18" i="2581" s="1"/>
  <c r="B17" i="2581" s="1"/>
  <c r="B27" i="2581"/>
  <c r="B28" i="2581" s="1"/>
  <c r="B25" i="2580"/>
  <c r="B24" i="2580" s="1"/>
  <c r="B23" i="2580" s="1"/>
  <c r="B22" i="2580" s="1"/>
  <c r="B21" i="2580" s="1"/>
  <c r="B20" i="2580" s="1"/>
  <c r="B19" i="2580" s="1"/>
  <c r="B18" i="2580" s="1"/>
  <c r="B17" i="2580" s="1"/>
  <c r="B27" i="2580"/>
  <c r="B28" i="2580" s="1"/>
  <c r="B23" i="2579"/>
  <c r="B22" i="2579" s="1"/>
  <c r="B21" i="2579" s="1"/>
  <c r="B20" i="2579" s="1"/>
  <c r="B19" i="2579" s="1"/>
  <c r="B18" i="2579" s="1"/>
  <c r="B17" i="2579" s="1"/>
  <c r="B16" i="2579" s="1"/>
  <c r="B15" i="2579" s="1"/>
  <c r="B14" i="2579" s="1"/>
  <c r="B13" i="2579" s="1"/>
  <c r="B25" i="2579"/>
  <c r="B26" i="2579" s="1"/>
  <c r="B23" i="2578"/>
  <c r="B22" i="2578" s="1"/>
  <c r="B21" i="2578" s="1"/>
  <c r="B20" i="2578" s="1"/>
  <c r="B19" i="2578" s="1"/>
  <c r="B18" i="2578" s="1"/>
  <c r="B17" i="2578" s="1"/>
  <c r="B16" i="2578" s="1"/>
  <c r="B15" i="2578" s="1"/>
  <c r="B14" i="2578" s="1"/>
  <c r="B13" i="2578" s="1"/>
  <c r="B25" i="2578"/>
  <c r="B26" i="2578" s="1"/>
  <c r="B24" i="2577"/>
  <c r="B23" i="2577" s="1"/>
  <c r="B22" i="2577" s="1"/>
  <c r="B21" i="2577" s="1"/>
  <c r="B20" i="2577" s="1"/>
  <c r="B19" i="2577" s="1"/>
  <c r="B18" i="2577" s="1"/>
  <c r="B17" i="2577" s="1"/>
  <c r="B16" i="2577" s="1"/>
  <c r="B15" i="2577" s="1"/>
  <c r="B26" i="2577"/>
  <c r="B27" i="2577" s="1"/>
  <c r="B24" i="2576"/>
  <c r="B23" i="2576" s="1"/>
  <c r="B22" i="2576" s="1"/>
  <c r="B21" i="2576" s="1"/>
  <c r="B20" i="2576" s="1"/>
  <c r="B19" i="2576" s="1"/>
  <c r="B18" i="2576" s="1"/>
  <c r="B17" i="2576" s="1"/>
  <c r="B16" i="2576" s="1"/>
  <c r="B15" i="2576" s="1"/>
  <c r="B26" i="2576"/>
  <c r="B27" i="2576" s="1"/>
  <c r="B34" i="2575"/>
  <c r="B36" i="2575"/>
  <c r="B37" i="2575" s="1"/>
  <c r="B24" i="2574"/>
  <c r="B23" i="2574" s="1"/>
  <c r="B22" i="2574" s="1"/>
  <c r="B21" i="2574" s="1"/>
  <c r="B20" i="2574" s="1"/>
  <c r="B19" i="2574" s="1"/>
  <c r="B18" i="2574" s="1"/>
  <c r="B17" i="2574" s="1"/>
  <c r="B16" i="2574" s="1"/>
  <c r="B15" i="2574" s="1"/>
  <c r="B26" i="2574"/>
  <c r="B27" i="2574" s="1"/>
  <c r="B27" i="2573"/>
  <c r="B26" i="2573" s="1"/>
  <c r="B25" i="2573" s="1"/>
  <c r="B24" i="2573" s="1"/>
  <c r="B23" i="2573" s="1"/>
  <c r="B22" i="2573" s="1"/>
  <c r="B21" i="2573" s="1"/>
  <c r="B29" i="2573"/>
  <c r="B30" i="2573" s="1"/>
  <c r="B24" i="2572"/>
  <c r="B23" i="2572" s="1"/>
  <c r="B22" i="2572" s="1"/>
  <c r="B21" i="2572" s="1"/>
  <c r="B20" i="2572" s="1"/>
  <c r="B19" i="2572" s="1"/>
  <c r="B18" i="2572" s="1"/>
  <c r="B17" i="2572" s="1"/>
  <c r="B16" i="2572" s="1"/>
  <c r="B15" i="2572" s="1"/>
  <c r="B26" i="2572"/>
  <c r="B27" i="2572" s="1"/>
  <c r="B24" i="2571"/>
  <c r="B23" i="2571" s="1"/>
  <c r="B22" i="2571" s="1"/>
  <c r="B21" i="2571" s="1"/>
  <c r="B20" i="2571" s="1"/>
  <c r="B19" i="2571" s="1"/>
  <c r="B18" i="2571" s="1"/>
  <c r="B17" i="2571" s="1"/>
  <c r="B16" i="2571" s="1"/>
  <c r="B15" i="2571" s="1"/>
  <c r="B26" i="2571"/>
  <c r="B27" i="2571" s="1"/>
  <c r="B29" i="2570"/>
  <c r="B28" i="2570" s="1"/>
  <c r="B27" i="2570" s="1"/>
  <c r="B26" i="2570" s="1"/>
  <c r="B25" i="2570" s="1"/>
  <c r="B31" i="2570"/>
  <c r="B32" i="2570" s="1"/>
  <c r="B24" i="2569"/>
  <c r="B23" i="2569" s="1"/>
  <c r="B22" i="2569" s="1"/>
  <c r="B21" i="2569" s="1"/>
  <c r="B20" i="2569" s="1"/>
  <c r="B19" i="2569" s="1"/>
  <c r="B18" i="2569" s="1"/>
  <c r="B17" i="2569" s="1"/>
  <c r="B16" i="2569" s="1"/>
  <c r="B15" i="2569" s="1"/>
  <c r="B26" i="2569"/>
  <c r="B27" i="2569" s="1"/>
  <c r="B27" i="2568"/>
  <c r="B26" i="2568" s="1"/>
  <c r="B25" i="2568" s="1"/>
  <c r="B24" i="2568" s="1"/>
  <c r="B23" i="2568" s="1"/>
  <c r="B22" i="2568" s="1"/>
  <c r="B21" i="2568" s="1"/>
  <c r="B29" i="2568"/>
  <c r="B30" i="2568" s="1"/>
  <c r="B24" i="2567"/>
  <c r="B23" i="2567" s="1"/>
  <c r="B22" i="2567" s="1"/>
  <c r="B21" i="2567" s="1"/>
  <c r="B20" i="2567" s="1"/>
  <c r="B19" i="2567" s="1"/>
  <c r="B18" i="2567" s="1"/>
  <c r="B17" i="2567" s="1"/>
  <c r="B16" i="2567" s="1"/>
  <c r="B15" i="2567" s="1"/>
  <c r="B26" i="2567"/>
  <c r="B27" i="2567" s="1"/>
  <c r="B25" i="2566"/>
  <c r="B24" i="2566" s="1"/>
  <c r="B23" i="2566" s="1"/>
  <c r="B22" i="2566" s="1"/>
  <c r="B21" i="2566" s="1"/>
  <c r="B20" i="2566" s="1"/>
  <c r="B19" i="2566" s="1"/>
  <c r="B18" i="2566" s="1"/>
  <c r="B17" i="2566" s="1"/>
  <c r="B27" i="2566"/>
  <c r="B28" i="2566" s="1"/>
  <c r="B23" i="2565"/>
  <c r="B22" i="2565" s="1"/>
  <c r="B21" i="2565" s="1"/>
  <c r="B20" i="2565" s="1"/>
  <c r="B19" i="2565" s="1"/>
  <c r="B18" i="2565" s="1"/>
  <c r="B17" i="2565" s="1"/>
  <c r="B16" i="2565" s="1"/>
  <c r="B15" i="2565" s="1"/>
  <c r="B14" i="2565" s="1"/>
  <c r="B13" i="2565" s="1"/>
  <c r="B25" i="2565"/>
  <c r="B26" i="2565" s="1"/>
  <c r="B31" i="2564"/>
  <c r="B30" i="2564" s="1"/>
  <c r="B29" i="2564" s="1"/>
  <c r="B50" i="2564"/>
  <c r="B51" i="2564" s="1"/>
  <c r="B24" i="2563"/>
  <c r="B23" i="2563" s="1"/>
  <c r="B22" i="2563" s="1"/>
  <c r="B21" i="2563" s="1"/>
  <c r="B20" i="2563" s="1"/>
  <c r="B19" i="2563" s="1"/>
  <c r="B18" i="2563" s="1"/>
  <c r="B17" i="2563" s="1"/>
  <c r="B16" i="2563" s="1"/>
  <c r="B15" i="2563" s="1"/>
  <c r="B31" i="2563"/>
  <c r="B32" i="2563" s="1"/>
  <c r="B24" i="2562"/>
  <c r="B23" i="2562" s="1"/>
  <c r="B22" i="2562" s="1"/>
  <c r="B21" i="2562" s="1"/>
  <c r="B20" i="2562" s="1"/>
  <c r="B19" i="2562" s="1"/>
  <c r="B18" i="2562" s="1"/>
  <c r="B17" i="2562" s="1"/>
  <c r="B16" i="2562" s="1"/>
  <c r="B15" i="2562" s="1"/>
  <c r="B26" i="2562"/>
  <c r="B27" i="2562" s="1"/>
  <c r="B27" i="2561"/>
  <c r="B26" i="2561" s="1"/>
  <c r="B25" i="2561" s="1"/>
  <c r="B24" i="2561" s="1"/>
  <c r="B23" i="2561" s="1"/>
  <c r="B22" i="2561" s="1"/>
  <c r="B21" i="2561" s="1"/>
  <c r="B38" i="2561"/>
  <c r="B39" i="2561" s="1"/>
  <c r="B24" i="2560"/>
  <c r="B23" i="2560" s="1"/>
  <c r="B22" i="2560" s="1"/>
  <c r="B21" i="2560" s="1"/>
  <c r="B20" i="2560" s="1"/>
  <c r="B19" i="2560" s="1"/>
  <c r="B18" i="2560" s="1"/>
  <c r="B17" i="2560" s="1"/>
  <c r="B16" i="2560" s="1"/>
  <c r="B15" i="2560" s="1"/>
  <c r="B28" i="2560"/>
  <c r="B29" i="2560" s="1"/>
  <c r="B24" i="2559"/>
  <c r="B23" i="2559" s="1"/>
  <c r="B22" i="2559" s="1"/>
  <c r="B21" i="2559" s="1"/>
  <c r="B20" i="2559" s="1"/>
  <c r="B19" i="2559" s="1"/>
  <c r="B18" i="2559" s="1"/>
  <c r="B17" i="2559" s="1"/>
  <c r="B16" i="2559" s="1"/>
  <c r="B15" i="2559" s="1"/>
  <c r="B28" i="2559"/>
  <c r="B29" i="2559" s="1"/>
  <c r="B25" i="2558"/>
  <c r="B24" i="2558" s="1"/>
  <c r="B23" i="2558" s="1"/>
  <c r="B22" i="2558" s="1"/>
  <c r="B21" i="2558" s="1"/>
  <c r="B20" i="2558" s="1"/>
  <c r="B19" i="2558" s="1"/>
  <c r="B18" i="2558" s="1"/>
  <c r="B17" i="2558" s="1"/>
  <c r="B29" i="2558"/>
  <c r="B30" i="2558" s="1"/>
  <c r="B25" i="2557"/>
  <c r="B24" i="2557" s="1"/>
  <c r="B23" i="2557" s="1"/>
  <c r="B22" i="2557" s="1"/>
  <c r="B21" i="2557" s="1"/>
  <c r="B20" i="2557" s="1"/>
  <c r="B19" i="2557" s="1"/>
  <c r="B18" i="2557" s="1"/>
  <c r="B17" i="2557" s="1"/>
  <c r="B29" i="2557"/>
  <c r="B30" i="2557" s="1"/>
  <c r="B23" i="2556"/>
  <c r="B22" i="2556" s="1"/>
  <c r="B21" i="2556" s="1"/>
  <c r="B20" i="2556" s="1"/>
  <c r="B19" i="2556" s="1"/>
  <c r="B18" i="2556" s="1"/>
  <c r="B17" i="2556" s="1"/>
  <c r="B16" i="2556" s="1"/>
  <c r="B15" i="2556" s="1"/>
  <c r="B14" i="2556" s="1"/>
  <c r="B13" i="2556" s="1"/>
  <c r="B33" i="2556"/>
  <c r="B34" i="2556" s="1"/>
  <c r="B23" i="2555"/>
  <c r="B22" i="2555" s="1"/>
  <c r="B21" i="2555" s="1"/>
  <c r="B20" i="2555" s="1"/>
  <c r="B19" i="2555" s="1"/>
  <c r="B18" i="2555" s="1"/>
  <c r="B17" i="2555" s="1"/>
  <c r="B16" i="2555" s="1"/>
  <c r="B15" i="2555" s="1"/>
  <c r="B14" i="2555" s="1"/>
  <c r="B13" i="2555" s="1"/>
  <c r="B27" i="2555"/>
  <c r="B28" i="2555" s="1"/>
  <c r="B24" i="2554"/>
  <c r="B23" i="2554" s="1"/>
  <c r="B22" i="2554" s="1"/>
  <c r="B21" i="2554" s="1"/>
  <c r="B20" i="2554" s="1"/>
  <c r="B19" i="2554" s="1"/>
  <c r="B18" i="2554" s="1"/>
  <c r="B17" i="2554" s="1"/>
  <c r="B16" i="2554" s="1"/>
  <c r="B15" i="2554" s="1"/>
  <c r="B33" i="2554"/>
  <c r="B34" i="2554" s="1"/>
  <c r="B24" i="2553"/>
  <c r="B23" i="2553" s="1"/>
  <c r="B22" i="2553" s="1"/>
  <c r="B21" i="2553" s="1"/>
  <c r="B20" i="2553" s="1"/>
  <c r="B19" i="2553" s="1"/>
  <c r="B18" i="2553" s="1"/>
  <c r="B17" i="2553" s="1"/>
  <c r="B16" i="2553" s="1"/>
  <c r="B15" i="2553" s="1"/>
  <c r="B29" i="2553"/>
  <c r="B30" i="2553" s="1"/>
  <c r="B34" i="2552"/>
  <c r="B41" i="2552"/>
  <c r="B42" i="2552" s="1"/>
  <c r="B24" i="2551"/>
  <c r="B23" i="2551" s="1"/>
  <c r="B22" i="2551" s="1"/>
  <c r="B21" i="2551" s="1"/>
  <c r="B20" i="2551" s="1"/>
  <c r="B19" i="2551" s="1"/>
  <c r="B18" i="2551" s="1"/>
  <c r="B17" i="2551" s="1"/>
  <c r="B16" i="2551" s="1"/>
  <c r="B15" i="2551" s="1"/>
  <c r="B30" i="2551"/>
  <c r="B31" i="2551" s="1"/>
  <c r="B27" i="2550"/>
  <c r="B26" i="2550" s="1"/>
  <c r="B25" i="2550" s="1"/>
  <c r="B24" i="2550" s="1"/>
  <c r="B23" i="2550" s="1"/>
  <c r="B22" i="2550" s="1"/>
  <c r="B21" i="2550" s="1"/>
  <c r="B33" i="2550"/>
  <c r="B34" i="2550" s="1"/>
  <c r="B24" i="2549"/>
  <c r="B23" i="2549" s="1"/>
  <c r="B22" i="2549" s="1"/>
  <c r="B21" i="2549" s="1"/>
  <c r="B20" i="2549" s="1"/>
  <c r="B19" i="2549" s="1"/>
  <c r="B18" i="2549" s="1"/>
  <c r="B17" i="2549" s="1"/>
  <c r="B16" i="2549" s="1"/>
  <c r="B15" i="2549" s="1"/>
  <c r="B32" i="2549"/>
  <c r="B33" i="2549" s="1"/>
  <c r="B24" i="2548"/>
  <c r="B23" i="2548" s="1"/>
  <c r="B22" i="2548" s="1"/>
  <c r="B21" i="2548" s="1"/>
  <c r="B20" i="2548" s="1"/>
  <c r="B19" i="2548" s="1"/>
  <c r="B18" i="2548" s="1"/>
  <c r="B17" i="2548" s="1"/>
  <c r="B16" i="2548" s="1"/>
  <c r="B15" i="2548" s="1"/>
  <c r="B29" i="2548"/>
  <c r="B30" i="2548" s="1"/>
  <c r="B29" i="2547"/>
  <c r="B28" i="2547" s="1"/>
  <c r="B27" i="2547" s="1"/>
  <c r="B26" i="2547" s="1"/>
  <c r="B25" i="2547" s="1"/>
  <c r="B41" i="2547"/>
  <c r="B42" i="2547" s="1"/>
  <c r="B24" i="2546"/>
  <c r="B23" i="2546" s="1"/>
  <c r="B22" i="2546" s="1"/>
  <c r="B21" i="2546" s="1"/>
  <c r="B20" i="2546" s="1"/>
  <c r="B19" i="2546" s="1"/>
  <c r="B18" i="2546" s="1"/>
  <c r="B17" i="2546" s="1"/>
  <c r="B16" i="2546" s="1"/>
  <c r="B15" i="2546" s="1"/>
  <c r="B36" i="2546"/>
  <c r="B37" i="2546" s="1"/>
  <c r="B27" i="2545"/>
  <c r="B26" i="2545" s="1"/>
  <c r="B25" i="2545" s="1"/>
  <c r="B24" i="2545" s="1"/>
  <c r="B23" i="2545" s="1"/>
  <c r="B22" i="2545" s="1"/>
  <c r="B21" i="2545" s="1"/>
  <c r="B37" i="2545"/>
  <c r="B38" i="2545" s="1"/>
  <c r="B24" i="2544"/>
  <c r="B23" i="2544" s="1"/>
  <c r="B22" i="2544" s="1"/>
  <c r="B21" i="2544" s="1"/>
  <c r="B20" i="2544" s="1"/>
  <c r="B19" i="2544" s="1"/>
  <c r="B18" i="2544" s="1"/>
  <c r="B17" i="2544" s="1"/>
  <c r="B16" i="2544" s="1"/>
  <c r="B15" i="2544" s="1"/>
  <c r="B32" i="2544"/>
  <c r="B33" i="2544" s="1"/>
  <c r="B25" i="2543"/>
  <c r="B24" i="2543" s="1"/>
  <c r="B23" i="2543" s="1"/>
  <c r="B22" i="2543" s="1"/>
  <c r="B21" i="2543" s="1"/>
  <c r="B20" i="2543" s="1"/>
  <c r="B19" i="2543" s="1"/>
  <c r="B18" i="2543" s="1"/>
  <c r="B17" i="2543" s="1"/>
  <c r="B32" i="2543"/>
  <c r="B33" i="2543" s="1"/>
  <c r="B23" i="2542"/>
  <c r="B22" i="2542" s="1"/>
  <c r="B21" i="2542" s="1"/>
  <c r="B20" i="2542" s="1"/>
  <c r="B19" i="2542" s="1"/>
  <c r="B18" i="2542" s="1"/>
  <c r="B17" i="2542" s="1"/>
  <c r="B16" i="2542" s="1"/>
  <c r="B15" i="2542" s="1"/>
  <c r="B14" i="2542" s="1"/>
  <c r="B13" i="2542" s="1"/>
  <c r="B25" i="2542"/>
  <c r="B26" i="2542" s="1"/>
  <c r="B23" i="6"/>
  <c r="B22" i="6" s="1"/>
  <c r="B21" i="6" s="1"/>
  <c r="B20" i="6" s="1"/>
  <c r="B19" i="6" s="1"/>
  <c r="B18" i="6" s="1"/>
  <c r="B17" i="6" s="1"/>
  <c r="B16" i="6" s="1"/>
  <c r="B15" i="6" s="1"/>
  <c r="B14" i="6" s="1"/>
  <c r="B13" i="6" s="1"/>
  <c r="B25" i="6"/>
  <c r="B26" i="6" s="1"/>
  <c r="B23" i="5"/>
  <c r="B22" i="5" s="1"/>
  <c r="B21" i="5" s="1"/>
  <c r="B20" i="5" s="1"/>
  <c r="B19" i="5" s="1"/>
  <c r="B18" i="5" s="1"/>
  <c r="B17" i="5" s="1"/>
  <c r="B16" i="5" s="1"/>
  <c r="B15" i="5" s="1"/>
  <c r="B14" i="5" s="1"/>
  <c r="B13" i="5" s="1"/>
  <c r="B25" i="5"/>
  <c r="B26" i="5" s="1"/>
  <c r="B23" i="4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25" i="4"/>
  <c r="B26" i="4" s="1"/>
  <c r="B23" i="3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26" i="3"/>
  <c r="B27" i="3" s="1"/>
  <c r="B28" i="2633" l="1"/>
  <c r="B20" i="2633"/>
  <c r="B14" i="2632"/>
  <c r="B13" i="2632"/>
  <c r="B14" i="2631"/>
  <c r="B13" i="2631"/>
  <c r="B20" i="2630"/>
  <c r="B16" i="2630"/>
  <c r="B14" i="2629"/>
  <c r="B13" i="2629"/>
  <c r="B14" i="2628"/>
  <c r="B13" i="2628"/>
  <c r="B16" i="2627"/>
  <c r="B14" i="2627"/>
  <c r="B16" i="2626"/>
  <c r="B14" i="2626"/>
  <c r="B14" i="2623"/>
  <c r="B13" i="2623"/>
  <c r="B14" i="2622"/>
  <c r="B13" i="2622"/>
  <c r="B33" i="2621"/>
  <c r="B22" i="2621"/>
  <c r="B14" i="2620"/>
  <c r="B13" i="2620"/>
  <c r="B20" i="2619"/>
  <c r="B16" i="2619"/>
  <c r="B14" i="2618"/>
  <c r="B13" i="2618"/>
  <c r="B14" i="2617"/>
  <c r="B13" i="2617"/>
  <c r="B24" i="2616"/>
  <c r="B18" i="2616"/>
  <c r="B14" i="2615"/>
  <c r="B13" i="2615"/>
  <c r="B20" i="2614"/>
  <c r="B16" i="2614"/>
  <c r="B14" i="2613"/>
  <c r="B13" i="2613"/>
  <c r="B16" i="2612"/>
  <c r="B14" i="2612"/>
  <c r="B28" i="2610"/>
  <c r="B20" i="2610"/>
  <c r="B14" i="2609"/>
  <c r="B13" i="2609"/>
  <c r="B14" i="2608"/>
  <c r="B13" i="2608"/>
  <c r="B20" i="2607"/>
  <c r="B16" i="2607"/>
  <c r="B14" i="2606"/>
  <c r="B13" i="2606"/>
  <c r="B14" i="2605"/>
  <c r="B13" i="2605"/>
  <c r="B16" i="2604"/>
  <c r="B14" i="2604"/>
  <c r="B16" i="2603"/>
  <c r="B14" i="2603"/>
  <c r="B14" i="2600"/>
  <c r="B13" i="2600"/>
  <c r="B14" i="2599"/>
  <c r="B13" i="2599"/>
  <c r="B33" i="2598"/>
  <c r="B22" i="2598"/>
  <c r="B14" i="2597"/>
  <c r="B13" i="2597"/>
  <c r="B20" i="2596"/>
  <c r="B16" i="2596"/>
  <c r="B14" i="2595"/>
  <c r="B13" i="2595"/>
  <c r="B14" i="2594"/>
  <c r="B13" i="2594"/>
  <c r="B24" i="2593"/>
  <c r="B18" i="2593"/>
  <c r="B14" i="2592"/>
  <c r="B13" i="2592"/>
  <c r="B20" i="2591"/>
  <c r="B16" i="2591"/>
  <c r="B14" i="2590"/>
  <c r="B13" i="2590"/>
  <c r="B16" i="2589"/>
  <c r="B14" i="2589"/>
  <c r="B28" i="2587"/>
  <c r="B20" i="2587"/>
  <c r="B14" i="2586"/>
  <c r="B13" i="2586"/>
  <c r="B14" i="2585"/>
  <c r="B13" i="2585"/>
  <c r="B20" i="2584"/>
  <c r="B16" i="2584"/>
  <c r="B14" i="2583"/>
  <c r="B13" i="2583"/>
  <c r="B14" i="2582"/>
  <c r="B13" i="2582"/>
  <c r="B16" i="2581"/>
  <c r="B14" i="2581"/>
  <c r="B16" i="2580"/>
  <c r="B14" i="2580"/>
  <c r="B14" i="2577"/>
  <c r="B13" i="2577"/>
  <c r="B14" i="2576"/>
  <c r="B13" i="2576"/>
  <c r="B33" i="2575"/>
  <c r="B22" i="2575"/>
  <c r="B14" i="2574"/>
  <c r="B13" i="2574"/>
  <c r="B20" i="2573"/>
  <c r="B16" i="2573"/>
  <c r="B14" i="2572"/>
  <c r="B13" i="2572"/>
  <c r="B14" i="2571"/>
  <c r="B13" i="2571"/>
  <c r="B24" i="2570"/>
  <c r="B18" i="2570"/>
  <c r="B14" i="2569"/>
  <c r="B13" i="2569"/>
  <c r="B20" i="2568"/>
  <c r="B16" i="2568"/>
  <c r="B14" i="2567"/>
  <c r="B13" i="2567"/>
  <c r="B16" i="2566"/>
  <c r="B14" i="2566"/>
  <c r="B28" i="2564"/>
  <c r="B20" i="2564"/>
  <c r="B14" i="2563"/>
  <c r="B13" i="2563"/>
  <c r="B14" i="2562"/>
  <c r="B13" i="2562"/>
  <c r="B20" i="2561"/>
  <c r="B16" i="2561"/>
  <c r="B14" i="2560"/>
  <c r="B13" i="2560"/>
  <c r="B14" i="2559"/>
  <c r="B13" i="2559"/>
  <c r="B16" i="2558"/>
  <c r="B14" i="2558"/>
  <c r="B16" i="2557"/>
  <c r="B14" i="2557"/>
  <c r="B14" i="2554"/>
  <c r="B13" i="2554"/>
  <c r="B14" i="2553"/>
  <c r="B13" i="2553"/>
  <c r="B33" i="2552"/>
  <c r="B22" i="2552"/>
  <c r="B14" i="2551"/>
  <c r="B13" i="2551"/>
  <c r="B20" i="2550"/>
  <c r="B16" i="2550"/>
  <c r="B14" i="2549"/>
  <c r="B13" i="2549"/>
  <c r="B14" i="2548"/>
  <c r="B13" i="2548"/>
  <c r="B24" i="2547"/>
  <c r="B18" i="2547"/>
  <c r="B14" i="2546"/>
  <c r="B13" i="2546"/>
  <c r="B20" i="2545"/>
  <c r="B16" i="2545"/>
  <c r="B14" i="2544"/>
  <c r="B13" i="2544"/>
  <c r="B16" i="2543"/>
  <c r="B14" i="2543"/>
  <c r="B15" i="1089"/>
  <c r="X15" i="1089"/>
  <c r="B20" i="1089"/>
  <c r="X20" i="1089"/>
  <c r="B22" i="1089"/>
  <c r="X22" i="1089"/>
  <c r="B24" i="1089"/>
  <c r="X24" i="1089"/>
  <c r="B28" i="1089"/>
  <c r="X28" i="1089"/>
  <c r="B11" i="1089"/>
  <c r="X11" i="1089"/>
  <c r="B15" i="1088"/>
  <c r="Z15" i="1088"/>
  <c r="B20" i="1088"/>
  <c r="Z20" i="1088"/>
  <c r="B22" i="1088"/>
  <c r="Z22" i="1088"/>
  <c r="B24" i="1088"/>
  <c r="Z24" i="1088"/>
  <c r="B28" i="1088"/>
  <c r="Z28" i="1088"/>
  <c r="B11" i="1088"/>
  <c r="Z11" i="1088"/>
  <c r="B12" i="3"/>
  <c r="B11" i="3" s="1"/>
  <c r="B10" i="3" s="1"/>
  <c r="B9" i="3" s="1"/>
  <c r="B8" i="3" s="1"/>
  <c r="B7" i="3" s="1"/>
  <c r="B6" i="3" s="1"/>
  <c r="B5" i="3" s="1"/>
  <c r="B4" i="3" s="1"/>
  <c r="B3" i="3" s="1"/>
  <c r="B12" i="4"/>
  <c r="B11" i="4" s="1"/>
  <c r="B10" i="4" s="1"/>
  <c r="B9" i="4" s="1"/>
  <c r="B8" i="4" s="1"/>
  <c r="B7" i="4" s="1"/>
  <c r="B6" i="4" s="1"/>
  <c r="B5" i="4" s="1"/>
  <c r="B4" i="4" s="1"/>
  <c r="B3" i="4" s="1"/>
  <c r="B12" i="5"/>
  <c r="B11" i="5" s="1"/>
  <c r="B10" i="5" s="1"/>
  <c r="B9" i="5" s="1"/>
  <c r="B8" i="5" s="1"/>
  <c r="B7" i="5" s="1"/>
  <c r="B6" i="5" s="1"/>
  <c r="B5" i="5" s="1"/>
  <c r="B4" i="5" s="1"/>
  <c r="B3" i="5" s="1"/>
  <c r="B12" i="6"/>
  <c r="B11" i="6" s="1"/>
  <c r="B10" i="6" s="1"/>
  <c r="B9" i="6" s="1"/>
  <c r="B8" i="6" s="1"/>
  <c r="B7" i="6" s="1"/>
  <c r="B6" i="6" s="1"/>
  <c r="B5" i="6" s="1"/>
  <c r="B4" i="6" s="1"/>
  <c r="B3" i="6" s="1"/>
  <c r="B12" i="2542"/>
  <c r="B11" i="2542" s="1"/>
  <c r="B10" i="2542" s="1"/>
  <c r="B9" i="2542" s="1"/>
  <c r="B8" i="2542" s="1"/>
  <c r="B7" i="2542" s="1"/>
  <c r="B6" i="2542" s="1"/>
  <c r="B5" i="2542" s="1"/>
  <c r="B4" i="2542" s="1"/>
  <c r="B3" i="2542" s="1"/>
  <c r="B12" i="2544"/>
  <c r="B11" i="2544" s="1"/>
  <c r="B10" i="2544" s="1"/>
  <c r="B9" i="2544" s="1"/>
  <c r="B8" i="2544" s="1"/>
  <c r="B7" i="2544" s="1"/>
  <c r="B6" i="2544" s="1"/>
  <c r="B5" i="2544" s="1"/>
  <c r="B4" i="2544" s="1"/>
  <c r="B3" i="2544" s="1"/>
  <c r="B12" i="2546"/>
  <c r="B11" i="2546" s="1"/>
  <c r="B10" i="2546" s="1"/>
  <c r="B9" i="2546" s="1"/>
  <c r="B8" i="2546" s="1"/>
  <c r="B7" i="2546" s="1"/>
  <c r="B6" i="2546" s="1"/>
  <c r="B5" i="2546" s="1"/>
  <c r="B4" i="2546" s="1"/>
  <c r="B3" i="2546" s="1"/>
  <c r="B12" i="2548"/>
  <c r="B11" i="2548" s="1"/>
  <c r="B10" i="2548" s="1"/>
  <c r="B9" i="2548" s="1"/>
  <c r="B8" i="2548" s="1"/>
  <c r="B7" i="2548" s="1"/>
  <c r="B6" i="2548" s="1"/>
  <c r="B5" i="2548" s="1"/>
  <c r="B4" i="2548" s="1"/>
  <c r="B3" i="2548" s="1"/>
  <c r="B12" i="2549"/>
  <c r="B11" i="2549" s="1"/>
  <c r="B10" i="2549" s="1"/>
  <c r="B9" i="2549" s="1"/>
  <c r="B8" i="2549" s="1"/>
  <c r="B7" i="2549" s="1"/>
  <c r="B6" i="2549" s="1"/>
  <c r="B5" i="2549" s="1"/>
  <c r="B4" i="2549" s="1"/>
  <c r="B3" i="2549" s="1"/>
  <c r="B12" i="2551"/>
  <c r="B11" i="2551" s="1"/>
  <c r="B10" i="2551" s="1"/>
  <c r="B9" i="2551" s="1"/>
  <c r="B8" i="2551" s="1"/>
  <c r="B7" i="2551" s="1"/>
  <c r="B6" i="2551" s="1"/>
  <c r="B5" i="2551" s="1"/>
  <c r="B4" i="2551" s="1"/>
  <c r="B3" i="2551" s="1"/>
  <c r="B12" i="2553"/>
  <c r="B11" i="2553" s="1"/>
  <c r="B10" i="2553" s="1"/>
  <c r="B9" i="2553" s="1"/>
  <c r="B8" i="2553" s="1"/>
  <c r="B7" i="2553" s="1"/>
  <c r="B6" i="2553" s="1"/>
  <c r="B5" i="2553" s="1"/>
  <c r="B4" i="2553" s="1"/>
  <c r="B3" i="2553" s="1"/>
  <c r="B12" i="2554"/>
  <c r="B11" i="2554" s="1"/>
  <c r="B10" i="2554" s="1"/>
  <c r="B9" i="2554" s="1"/>
  <c r="B8" i="2554" s="1"/>
  <c r="B7" i="2554" s="1"/>
  <c r="B6" i="2554" s="1"/>
  <c r="B5" i="2554" s="1"/>
  <c r="B4" i="2554" s="1"/>
  <c r="B3" i="2554" s="1"/>
  <c r="B12" i="2555"/>
  <c r="B11" i="2555" s="1"/>
  <c r="B10" i="2555" s="1"/>
  <c r="B9" i="2555" s="1"/>
  <c r="B8" i="2555" s="1"/>
  <c r="B7" i="2555" s="1"/>
  <c r="B6" i="2555" s="1"/>
  <c r="B5" i="2555" s="1"/>
  <c r="B4" i="2555" s="1"/>
  <c r="B3" i="2555" s="1"/>
  <c r="B12" i="2556"/>
  <c r="B11" i="2556" s="1"/>
  <c r="B10" i="2556" s="1"/>
  <c r="B9" i="2556" s="1"/>
  <c r="B8" i="2556" s="1"/>
  <c r="B7" i="2556" s="1"/>
  <c r="B6" i="2556" s="1"/>
  <c r="B5" i="2556" s="1"/>
  <c r="B4" i="2556" s="1"/>
  <c r="B3" i="2556" s="1"/>
  <c r="B12" i="2559"/>
  <c r="B11" i="2559" s="1"/>
  <c r="B10" i="2559" s="1"/>
  <c r="B9" i="2559" s="1"/>
  <c r="B8" i="2559" s="1"/>
  <c r="B7" i="2559" s="1"/>
  <c r="B6" i="2559" s="1"/>
  <c r="B5" i="2559" s="1"/>
  <c r="B4" i="2559" s="1"/>
  <c r="B3" i="2559" s="1"/>
  <c r="B12" i="2560"/>
  <c r="B11" i="2560" s="1"/>
  <c r="B10" i="2560" s="1"/>
  <c r="B9" i="2560" s="1"/>
  <c r="B8" i="2560" s="1"/>
  <c r="B7" i="2560" s="1"/>
  <c r="B6" i="2560" s="1"/>
  <c r="B5" i="2560" s="1"/>
  <c r="B4" i="2560" s="1"/>
  <c r="B3" i="2560" s="1"/>
  <c r="B12" i="2562"/>
  <c r="B11" i="2562" s="1"/>
  <c r="B10" i="2562" s="1"/>
  <c r="B9" i="2562" s="1"/>
  <c r="B8" i="2562" s="1"/>
  <c r="B7" i="2562" s="1"/>
  <c r="B6" i="2562" s="1"/>
  <c r="B5" i="2562" s="1"/>
  <c r="B4" i="2562" s="1"/>
  <c r="B3" i="2562" s="1"/>
  <c r="B12" i="2563"/>
  <c r="B11" i="2563" s="1"/>
  <c r="B10" i="2563" s="1"/>
  <c r="B9" i="2563" s="1"/>
  <c r="B8" i="2563" s="1"/>
  <c r="B7" i="2563" s="1"/>
  <c r="B6" i="2563" s="1"/>
  <c r="B5" i="2563" s="1"/>
  <c r="B4" i="2563" s="1"/>
  <c r="B3" i="2563" s="1"/>
  <c r="B12" i="2565"/>
  <c r="B11" i="2565" s="1"/>
  <c r="B10" i="2565" s="1"/>
  <c r="B9" i="2565" s="1"/>
  <c r="B8" i="2565" s="1"/>
  <c r="B7" i="2565" s="1"/>
  <c r="B6" i="2565" s="1"/>
  <c r="B5" i="2565" s="1"/>
  <c r="B4" i="2565" s="1"/>
  <c r="B3" i="2565" s="1"/>
  <c r="B12" i="2567"/>
  <c r="B11" i="2567" s="1"/>
  <c r="B10" i="2567" s="1"/>
  <c r="B9" i="2567" s="1"/>
  <c r="B8" i="2567" s="1"/>
  <c r="B7" i="2567" s="1"/>
  <c r="B6" i="2567" s="1"/>
  <c r="B5" i="2567" s="1"/>
  <c r="B4" i="2567" s="1"/>
  <c r="B3" i="2567" s="1"/>
  <c r="B12" i="2569"/>
  <c r="B11" i="2569" s="1"/>
  <c r="B10" i="2569" s="1"/>
  <c r="B9" i="2569" s="1"/>
  <c r="B8" i="2569" s="1"/>
  <c r="B7" i="2569" s="1"/>
  <c r="B6" i="2569" s="1"/>
  <c r="B5" i="2569" s="1"/>
  <c r="B4" i="2569" s="1"/>
  <c r="B3" i="2569" s="1"/>
  <c r="B12" i="2571"/>
  <c r="B11" i="2571" s="1"/>
  <c r="B10" i="2571" s="1"/>
  <c r="B9" i="2571" s="1"/>
  <c r="B8" i="2571" s="1"/>
  <c r="B7" i="2571" s="1"/>
  <c r="B6" i="2571" s="1"/>
  <c r="B5" i="2571" s="1"/>
  <c r="B4" i="2571" s="1"/>
  <c r="B3" i="2571" s="1"/>
  <c r="B12" i="2572"/>
  <c r="B11" i="2572" s="1"/>
  <c r="B10" i="2572" s="1"/>
  <c r="B9" i="2572" s="1"/>
  <c r="B8" i="2572" s="1"/>
  <c r="B7" i="2572" s="1"/>
  <c r="B6" i="2572" s="1"/>
  <c r="B5" i="2572" s="1"/>
  <c r="B4" i="2572" s="1"/>
  <c r="B3" i="2572" s="1"/>
  <c r="B12" i="2574"/>
  <c r="B11" i="2574" s="1"/>
  <c r="B10" i="2574" s="1"/>
  <c r="B9" i="2574" s="1"/>
  <c r="B8" i="2574" s="1"/>
  <c r="B7" i="2574" s="1"/>
  <c r="B6" i="2574" s="1"/>
  <c r="B5" i="2574" s="1"/>
  <c r="B4" i="2574" s="1"/>
  <c r="B3" i="2574" s="1"/>
  <c r="B12" i="2576"/>
  <c r="B11" i="2576" s="1"/>
  <c r="B10" i="2576" s="1"/>
  <c r="B9" i="2576" s="1"/>
  <c r="B8" i="2576" s="1"/>
  <c r="B7" i="2576" s="1"/>
  <c r="B6" i="2576" s="1"/>
  <c r="B5" i="2576" s="1"/>
  <c r="B4" i="2576" s="1"/>
  <c r="B3" i="2576" s="1"/>
  <c r="B12" i="2577"/>
  <c r="B11" i="2577" s="1"/>
  <c r="B10" i="2577" s="1"/>
  <c r="B9" i="2577" s="1"/>
  <c r="B8" i="2577" s="1"/>
  <c r="B7" i="2577" s="1"/>
  <c r="B6" i="2577" s="1"/>
  <c r="B5" i="2577" s="1"/>
  <c r="B4" i="2577" s="1"/>
  <c r="B3" i="2577" s="1"/>
  <c r="B12" i="2578"/>
  <c r="B11" i="2578" s="1"/>
  <c r="B10" i="2578" s="1"/>
  <c r="B9" i="2578" s="1"/>
  <c r="B8" i="2578" s="1"/>
  <c r="B7" i="2578" s="1"/>
  <c r="B6" i="2578" s="1"/>
  <c r="B5" i="2578" s="1"/>
  <c r="B4" i="2578" s="1"/>
  <c r="B3" i="2578" s="1"/>
  <c r="B12" i="2579"/>
  <c r="B11" i="2579" s="1"/>
  <c r="B10" i="2579" s="1"/>
  <c r="B9" i="2579" s="1"/>
  <c r="B8" i="2579" s="1"/>
  <c r="B7" i="2579" s="1"/>
  <c r="B6" i="2579" s="1"/>
  <c r="B5" i="2579" s="1"/>
  <c r="B4" i="2579" s="1"/>
  <c r="B3" i="2579" s="1"/>
  <c r="B12" i="2582"/>
  <c r="B11" i="2582" s="1"/>
  <c r="B10" i="2582" s="1"/>
  <c r="B9" i="2582" s="1"/>
  <c r="B8" i="2582" s="1"/>
  <c r="B7" i="2582" s="1"/>
  <c r="B6" i="2582" s="1"/>
  <c r="B5" i="2582" s="1"/>
  <c r="B4" i="2582" s="1"/>
  <c r="B3" i="2582" s="1"/>
  <c r="B12" i="2583"/>
  <c r="B11" i="2583" s="1"/>
  <c r="B10" i="2583" s="1"/>
  <c r="B9" i="2583" s="1"/>
  <c r="B8" i="2583" s="1"/>
  <c r="B7" i="2583" s="1"/>
  <c r="B6" i="2583" s="1"/>
  <c r="B5" i="2583" s="1"/>
  <c r="B4" i="2583" s="1"/>
  <c r="B3" i="2583" s="1"/>
  <c r="B12" i="2585"/>
  <c r="B11" i="2585" s="1"/>
  <c r="B10" i="2585" s="1"/>
  <c r="B9" i="2585" s="1"/>
  <c r="B8" i="2585" s="1"/>
  <c r="B7" i="2585" s="1"/>
  <c r="B6" i="2585" s="1"/>
  <c r="B5" i="2585" s="1"/>
  <c r="B4" i="2585" s="1"/>
  <c r="B3" i="2585" s="1"/>
  <c r="B12" i="2586"/>
  <c r="B11" i="2586" s="1"/>
  <c r="B10" i="2586" s="1"/>
  <c r="B9" i="2586" s="1"/>
  <c r="B8" i="2586" s="1"/>
  <c r="B7" i="2586" s="1"/>
  <c r="B6" i="2586" s="1"/>
  <c r="B5" i="2586" s="1"/>
  <c r="B4" i="2586" s="1"/>
  <c r="B3" i="2586" s="1"/>
  <c r="B12" i="2588"/>
  <c r="B11" i="2588" s="1"/>
  <c r="B10" i="2588" s="1"/>
  <c r="B9" i="2588" s="1"/>
  <c r="B8" i="2588" s="1"/>
  <c r="B7" i="2588" s="1"/>
  <c r="B6" i="2588" s="1"/>
  <c r="B5" i="2588" s="1"/>
  <c r="B4" i="2588" s="1"/>
  <c r="B3" i="2588" s="1"/>
  <c r="B12" i="2590"/>
  <c r="B11" i="2590" s="1"/>
  <c r="B10" i="2590" s="1"/>
  <c r="B9" i="2590" s="1"/>
  <c r="B8" i="2590" s="1"/>
  <c r="B7" i="2590" s="1"/>
  <c r="B6" i="2590" s="1"/>
  <c r="B5" i="2590" s="1"/>
  <c r="B4" i="2590" s="1"/>
  <c r="B3" i="2590" s="1"/>
  <c r="B12" i="2592"/>
  <c r="B11" i="2592" s="1"/>
  <c r="B10" i="2592" s="1"/>
  <c r="B9" i="2592" s="1"/>
  <c r="B8" i="2592" s="1"/>
  <c r="B7" i="2592" s="1"/>
  <c r="B6" i="2592" s="1"/>
  <c r="B5" i="2592" s="1"/>
  <c r="B4" i="2592" s="1"/>
  <c r="B3" i="2592" s="1"/>
  <c r="B12" i="2594"/>
  <c r="B11" i="2594" s="1"/>
  <c r="B10" i="2594" s="1"/>
  <c r="B9" i="2594" s="1"/>
  <c r="B8" i="2594" s="1"/>
  <c r="B7" i="2594" s="1"/>
  <c r="B6" i="2594" s="1"/>
  <c r="B5" i="2594" s="1"/>
  <c r="B4" i="2594" s="1"/>
  <c r="B3" i="2594" s="1"/>
  <c r="B12" i="2595"/>
  <c r="B11" i="2595" s="1"/>
  <c r="B10" i="2595" s="1"/>
  <c r="B9" i="2595" s="1"/>
  <c r="B8" i="2595" s="1"/>
  <c r="B7" i="2595" s="1"/>
  <c r="B6" i="2595" s="1"/>
  <c r="B5" i="2595" s="1"/>
  <c r="B4" i="2595" s="1"/>
  <c r="B3" i="2595" s="1"/>
  <c r="B12" i="2597"/>
  <c r="B11" i="2597" s="1"/>
  <c r="B10" i="2597" s="1"/>
  <c r="B9" i="2597" s="1"/>
  <c r="B8" i="2597" s="1"/>
  <c r="B7" i="2597" s="1"/>
  <c r="B6" i="2597" s="1"/>
  <c r="B5" i="2597" s="1"/>
  <c r="B4" i="2597" s="1"/>
  <c r="B3" i="2597" s="1"/>
  <c r="B12" i="2599"/>
  <c r="B11" i="2599" s="1"/>
  <c r="B10" i="2599" s="1"/>
  <c r="B9" i="2599" s="1"/>
  <c r="B8" i="2599" s="1"/>
  <c r="B7" i="2599" s="1"/>
  <c r="B6" i="2599" s="1"/>
  <c r="B5" i="2599" s="1"/>
  <c r="B4" i="2599" s="1"/>
  <c r="B3" i="2599" s="1"/>
  <c r="B12" i="2600"/>
  <c r="B11" i="2600" s="1"/>
  <c r="B10" i="2600" s="1"/>
  <c r="B9" i="2600" s="1"/>
  <c r="B8" i="2600" s="1"/>
  <c r="B7" i="2600" s="1"/>
  <c r="B6" i="2600" s="1"/>
  <c r="B5" i="2600" s="1"/>
  <c r="B4" i="2600" s="1"/>
  <c r="B3" i="2600" s="1"/>
  <c r="B12" i="2601"/>
  <c r="B11" i="2601" s="1"/>
  <c r="B10" i="2601" s="1"/>
  <c r="B9" i="2601" s="1"/>
  <c r="B8" i="2601" s="1"/>
  <c r="B7" i="2601" s="1"/>
  <c r="B6" i="2601" s="1"/>
  <c r="B5" i="2601" s="1"/>
  <c r="B4" i="2601" s="1"/>
  <c r="B3" i="2601" s="1"/>
  <c r="B12" i="2602"/>
  <c r="B11" i="2602" s="1"/>
  <c r="B10" i="2602" s="1"/>
  <c r="B9" i="2602" s="1"/>
  <c r="B8" i="2602" s="1"/>
  <c r="B7" i="2602" s="1"/>
  <c r="B6" i="2602" s="1"/>
  <c r="B5" i="2602" s="1"/>
  <c r="B4" i="2602" s="1"/>
  <c r="B3" i="2602" s="1"/>
  <c r="B12" i="2605"/>
  <c r="B11" i="2605" s="1"/>
  <c r="B10" i="2605" s="1"/>
  <c r="B9" i="2605" s="1"/>
  <c r="B8" i="2605" s="1"/>
  <c r="B7" i="2605" s="1"/>
  <c r="B6" i="2605" s="1"/>
  <c r="B5" i="2605" s="1"/>
  <c r="B4" i="2605" s="1"/>
  <c r="B3" i="2605" s="1"/>
  <c r="B12" i="2606"/>
  <c r="B11" i="2606" s="1"/>
  <c r="B10" i="2606" s="1"/>
  <c r="B9" i="2606" s="1"/>
  <c r="B8" i="2606" s="1"/>
  <c r="B7" i="2606" s="1"/>
  <c r="B6" i="2606" s="1"/>
  <c r="B5" i="2606" s="1"/>
  <c r="B4" i="2606" s="1"/>
  <c r="B3" i="2606" s="1"/>
  <c r="B12" i="2608"/>
  <c r="B11" i="2608" s="1"/>
  <c r="B10" i="2608" s="1"/>
  <c r="B9" i="2608" s="1"/>
  <c r="B8" i="2608" s="1"/>
  <c r="B7" i="2608" s="1"/>
  <c r="B6" i="2608" s="1"/>
  <c r="B5" i="2608" s="1"/>
  <c r="B4" i="2608" s="1"/>
  <c r="B3" i="2608" s="1"/>
  <c r="B12" i="2609"/>
  <c r="B11" i="2609" s="1"/>
  <c r="B10" i="2609" s="1"/>
  <c r="B9" i="2609" s="1"/>
  <c r="B8" i="2609" s="1"/>
  <c r="B7" i="2609" s="1"/>
  <c r="B6" i="2609" s="1"/>
  <c r="B5" i="2609" s="1"/>
  <c r="B4" i="2609" s="1"/>
  <c r="B3" i="2609" s="1"/>
  <c r="B12" i="2611"/>
  <c r="B11" i="2611" s="1"/>
  <c r="B10" i="2611" s="1"/>
  <c r="B9" i="2611" s="1"/>
  <c r="B8" i="2611" s="1"/>
  <c r="B7" i="2611" s="1"/>
  <c r="B6" i="2611" s="1"/>
  <c r="B5" i="2611" s="1"/>
  <c r="B4" i="2611" s="1"/>
  <c r="B3" i="2611" s="1"/>
  <c r="B12" i="2613"/>
  <c r="B11" i="2613" s="1"/>
  <c r="B10" i="2613" s="1"/>
  <c r="B9" i="2613" s="1"/>
  <c r="B8" i="2613" s="1"/>
  <c r="B7" i="2613" s="1"/>
  <c r="B6" i="2613" s="1"/>
  <c r="B5" i="2613" s="1"/>
  <c r="B4" i="2613" s="1"/>
  <c r="B3" i="2613" s="1"/>
  <c r="B12" i="2615"/>
  <c r="B11" i="2615" s="1"/>
  <c r="B10" i="2615" s="1"/>
  <c r="B9" i="2615" s="1"/>
  <c r="B8" i="2615" s="1"/>
  <c r="B7" i="2615" s="1"/>
  <c r="B6" i="2615" s="1"/>
  <c r="B5" i="2615" s="1"/>
  <c r="B4" i="2615" s="1"/>
  <c r="B3" i="2615" s="1"/>
  <c r="B12" i="2617"/>
  <c r="B11" i="2617" s="1"/>
  <c r="B10" i="2617" s="1"/>
  <c r="B9" i="2617" s="1"/>
  <c r="B8" i="2617" s="1"/>
  <c r="B7" i="2617" s="1"/>
  <c r="B6" i="2617" s="1"/>
  <c r="B5" i="2617" s="1"/>
  <c r="B4" i="2617" s="1"/>
  <c r="B3" i="2617" s="1"/>
  <c r="B12" i="2618"/>
  <c r="B11" i="2618" s="1"/>
  <c r="B10" i="2618" s="1"/>
  <c r="B9" i="2618" s="1"/>
  <c r="B8" i="2618" s="1"/>
  <c r="B7" i="2618" s="1"/>
  <c r="B6" i="2618" s="1"/>
  <c r="B5" i="2618" s="1"/>
  <c r="B4" i="2618" s="1"/>
  <c r="B3" i="2618" s="1"/>
  <c r="B12" i="2620"/>
  <c r="B11" i="2620" s="1"/>
  <c r="B10" i="2620" s="1"/>
  <c r="B9" i="2620" s="1"/>
  <c r="B8" i="2620" s="1"/>
  <c r="B7" i="2620" s="1"/>
  <c r="B6" i="2620" s="1"/>
  <c r="B5" i="2620" s="1"/>
  <c r="B4" i="2620" s="1"/>
  <c r="B3" i="2620" s="1"/>
  <c r="B12" i="2622"/>
  <c r="B11" i="2622" s="1"/>
  <c r="B10" i="2622" s="1"/>
  <c r="B9" i="2622" s="1"/>
  <c r="B8" i="2622" s="1"/>
  <c r="B7" i="2622" s="1"/>
  <c r="B6" i="2622" s="1"/>
  <c r="B5" i="2622" s="1"/>
  <c r="B4" i="2622" s="1"/>
  <c r="B3" i="2622" s="1"/>
  <c r="B12" i="2623"/>
  <c r="B11" i="2623" s="1"/>
  <c r="B10" i="2623" s="1"/>
  <c r="B9" i="2623" s="1"/>
  <c r="B8" i="2623" s="1"/>
  <c r="B7" i="2623" s="1"/>
  <c r="B6" i="2623" s="1"/>
  <c r="B5" i="2623" s="1"/>
  <c r="B4" i="2623" s="1"/>
  <c r="B3" i="2623" s="1"/>
  <c r="B12" i="2624"/>
  <c r="B11" i="2624" s="1"/>
  <c r="B10" i="2624" s="1"/>
  <c r="B9" i="2624" s="1"/>
  <c r="B8" i="2624" s="1"/>
  <c r="B7" i="2624" s="1"/>
  <c r="B6" i="2624" s="1"/>
  <c r="B5" i="2624" s="1"/>
  <c r="B4" i="2624" s="1"/>
  <c r="B3" i="2624" s="1"/>
  <c r="B12" i="2625"/>
  <c r="B11" i="2625" s="1"/>
  <c r="B10" i="2625" s="1"/>
  <c r="B9" i="2625" s="1"/>
  <c r="B8" i="2625" s="1"/>
  <c r="B7" i="2625" s="1"/>
  <c r="B6" i="2625" s="1"/>
  <c r="B5" i="2625" s="1"/>
  <c r="B4" i="2625" s="1"/>
  <c r="B3" i="2625" s="1"/>
  <c r="B12" i="2628"/>
  <c r="B11" i="2628" s="1"/>
  <c r="B10" i="2628" s="1"/>
  <c r="B9" i="2628" s="1"/>
  <c r="B8" i="2628" s="1"/>
  <c r="B7" i="2628" s="1"/>
  <c r="B6" i="2628" s="1"/>
  <c r="B5" i="2628" s="1"/>
  <c r="B4" i="2628" s="1"/>
  <c r="B3" i="2628" s="1"/>
  <c r="B12" i="2629"/>
  <c r="B11" i="2629" s="1"/>
  <c r="B10" i="2629" s="1"/>
  <c r="B9" i="2629" s="1"/>
  <c r="B8" i="2629" s="1"/>
  <c r="B7" i="2629" s="1"/>
  <c r="B6" i="2629" s="1"/>
  <c r="B5" i="2629" s="1"/>
  <c r="B4" i="2629" s="1"/>
  <c r="B3" i="2629" s="1"/>
  <c r="B12" i="2631"/>
  <c r="B11" i="2631" s="1"/>
  <c r="B10" i="2631" s="1"/>
  <c r="B9" i="2631" s="1"/>
  <c r="B8" i="2631" s="1"/>
  <c r="B7" i="2631" s="1"/>
  <c r="B6" i="2631" s="1"/>
  <c r="B5" i="2631" s="1"/>
  <c r="B4" i="2631" s="1"/>
  <c r="B3" i="2631" s="1"/>
  <c r="B12" i="2632"/>
  <c r="B11" i="2632" s="1"/>
  <c r="B10" i="2632" s="1"/>
  <c r="B9" i="2632" s="1"/>
  <c r="B8" i="2632" s="1"/>
  <c r="B7" i="2632" s="1"/>
  <c r="B6" i="2632" s="1"/>
  <c r="B5" i="2632" s="1"/>
  <c r="B4" i="2632" s="1"/>
  <c r="B3" i="2632" s="1"/>
  <c r="B27" i="2633" l="1"/>
  <c r="B19" i="2633"/>
  <c r="B19" i="2630"/>
  <c r="B15" i="2630"/>
  <c r="B15" i="2627"/>
  <c r="B12" i="2627" s="1"/>
  <c r="B11" i="2627" s="1"/>
  <c r="B10" i="2627" s="1"/>
  <c r="B9" i="2627" s="1"/>
  <c r="B8" i="2627" s="1"/>
  <c r="B7" i="2627" s="1"/>
  <c r="B6" i="2627" s="1"/>
  <c r="B5" i="2627" s="1"/>
  <c r="B4" i="2627" s="1"/>
  <c r="B3" i="2627" s="1"/>
  <c r="B13" i="2627"/>
  <c r="B15" i="2626"/>
  <c r="B12" i="2626" s="1"/>
  <c r="B11" i="2626" s="1"/>
  <c r="B10" i="2626" s="1"/>
  <c r="B9" i="2626" s="1"/>
  <c r="B8" i="2626" s="1"/>
  <c r="B7" i="2626" s="1"/>
  <c r="B6" i="2626" s="1"/>
  <c r="B5" i="2626" s="1"/>
  <c r="B4" i="2626" s="1"/>
  <c r="B3" i="2626" s="1"/>
  <c r="B13" i="2626"/>
  <c r="B32" i="2621"/>
  <c r="B21" i="2621"/>
  <c r="B19" i="2619"/>
  <c r="B15" i="2619"/>
  <c r="B23" i="2616"/>
  <c r="B17" i="2616"/>
  <c r="B19" i="2614"/>
  <c r="B15" i="2614"/>
  <c r="B15" i="2612"/>
  <c r="B12" i="2612" s="1"/>
  <c r="B11" i="2612" s="1"/>
  <c r="B10" i="2612" s="1"/>
  <c r="B9" i="2612" s="1"/>
  <c r="B8" i="2612" s="1"/>
  <c r="B7" i="2612" s="1"/>
  <c r="B6" i="2612" s="1"/>
  <c r="B5" i="2612" s="1"/>
  <c r="B4" i="2612" s="1"/>
  <c r="B3" i="2612" s="1"/>
  <c r="B13" i="2612"/>
  <c r="B27" i="2610"/>
  <c r="B19" i="2610"/>
  <c r="B19" i="2607"/>
  <c r="B15" i="2607"/>
  <c r="B15" i="2604"/>
  <c r="B12" i="2604" s="1"/>
  <c r="B11" i="2604" s="1"/>
  <c r="B10" i="2604" s="1"/>
  <c r="B9" i="2604" s="1"/>
  <c r="B8" i="2604" s="1"/>
  <c r="B7" i="2604" s="1"/>
  <c r="B6" i="2604" s="1"/>
  <c r="B5" i="2604" s="1"/>
  <c r="B4" i="2604" s="1"/>
  <c r="B3" i="2604" s="1"/>
  <c r="B13" i="2604"/>
  <c r="B15" i="2603"/>
  <c r="B12" i="2603" s="1"/>
  <c r="B11" i="2603" s="1"/>
  <c r="B10" i="2603" s="1"/>
  <c r="B9" i="2603" s="1"/>
  <c r="B8" i="2603" s="1"/>
  <c r="B7" i="2603" s="1"/>
  <c r="B6" i="2603" s="1"/>
  <c r="B5" i="2603" s="1"/>
  <c r="B4" i="2603" s="1"/>
  <c r="B3" i="2603" s="1"/>
  <c r="B13" i="2603"/>
  <c r="B32" i="2598"/>
  <c r="B21" i="2598"/>
  <c r="B19" i="2596"/>
  <c r="B15" i="2596"/>
  <c r="B23" i="2593"/>
  <c r="B17" i="2593"/>
  <c r="B19" i="2591"/>
  <c r="B15" i="2591"/>
  <c r="B15" i="2589"/>
  <c r="B12" i="2589" s="1"/>
  <c r="B11" i="2589" s="1"/>
  <c r="B10" i="2589" s="1"/>
  <c r="B9" i="2589" s="1"/>
  <c r="B8" i="2589" s="1"/>
  <c r="B7" i="2589" s="1"/>
  <c r="B6" i="2589" s="1"/>
  <c r="B5" i="2589" s="1"/>
  <c r="B4" i="2589" s="1"/>
  <c r="B3" i="2589" s="1"/>
  <c r="B13" i="2589"/>
  <c r="B27" i="2587"/>
  <c r="B19" i="2587"/>
  <c r="B19" i="2584"/>
  <c r="B15" i="2584"/>
  <c r="B15" i="2581"/>
  <c r="B12" i="2581" s="1"/>
  <c r="B11" i="2581" s="1"/>
  <c r="B10" i="2581" s="1"/>
  <c r="B9" i="2581" s="1"/>
  <c r="B8" i="2581" s="1"/>
  <c r="B7" i="2581" s="1"/>
  <c r="B6" i="2581" s="1"/>
  <c r="B5" i="2581" s="1"/>
  <c r="B4" i="2581" s="1"/>
  <c r="B3" i="2581" s="1"/>
  <c r="B13" i="2581"/>
  <c r="B15" i="2580"/>
  <c r="B12" i="2580" s="1"/>
  <c r="B11" i="2580" s="1"/>
  <c r="B10" i="2580" s="1"/>
  <c r="B9" i="2580" s="1"/>
  <c r="B8" i="2580" s="1"/>
  <c r="B7" i="2580" s="1"/>
  <c r="B6" i="2580" s="1"/>
  <c r="B5" i="2580" s="1"/>
  <c r="B4" i="2580" s="1"/>
  <c r="B3" i="2580" s="1"/>
  <c r="B13" i="2580"/>
  <c r="B32" i="2575"/>
  <c r="B21" i="2575"/>
  <c r="B19" i="2573"/>
  <c r="B15" i="2573"/>
  <c r="B23" i="2570"/>
  <c r="B17" i="2570"/>
  <c r="B19" i="2568"/>
  <c r="B15" i="2568"/>
  <c r="B15" i="2566"/>
  <c r="B12" i="2566" s="1"/>
  <c r="B11" i="2566" s="1"/>
  <c r="B10" i="2566" s="1"/>
  <c r="B9" i="2566" s="1"/>
  <c r="B8" i="2566" s="1"/>
  <c r="B7" i="2566" s="1"/>
  <c r="B6" i="2566" s="1"/>
  <c r="B5" i="2566" s="1"/>
  <c r="B4" i="2566" s="1"/>
  <c r="B3" i="2566" s="1"/>
  <c r="B13" i="2566"/>
  <c r="B27" i="2564"/>
  <c r="B19" i="2564"/>
  <c r="B19" i="2561"/>
  <c r="B15" i="2561"/>
  <c r="B15" i="2558"/>
  <c r="B12" i="2558" s="1"/>
  <c r="B11" i="2558" s="1"/>
  <c r="B10" i="2558" s="1"/>
  <c r="B9" i="2558" s="1"/>
  <c r="B8" i="2558" s="1"/>
  <c r="B7" i="2558" s="1"/>
  <c r="B6" i="2558" s="1"/>
  <c r="B5" i="2558" s="1"/>
  <c r="B4" i="2558" s="1"/>
  <c r="B3" i="2558" s="1"/>
  <c r="B13" i="2558"/>
  <c r="B15" i="2557"/>
  <c r="B12" i="2557" s="1"/>
  <c r="B11" i="2557" s="1"/>
  <c r="B10" i="2557" s="1"/>
  <c r="B9" i="2557" s="1"/>
  <c r="B8" i="2557" s="1"/>
  <c r="B7" i="2557" s="1"/>
  <c r="B6" i="2557" s="1"/>
  <c r="B5" i="2557" s="1"/>
  <c r="B4" i="2557" s="1"/>
  <c r="B3" i="2557" s="1"/>
  <c r="B13" i="2557"/>
  <c r="B32" i="2552"/>
  <c r="B21" i="2552"/>
  <c r="B19" i="2550"/>
  <c r="B15" i="2550"/>
  <c r="B23" i="2547"/>
  <c r="B17" i="2547"/>
  <c r="B19" i="2545"/>
  <c r="B15" i="2545"/>
  <c r="B15" i="2543"/>
  <c r="B12" i="2543" s="1"/>
  <c r="B11" i="2543" s="1"/>
  <c r="B10" i="2543" s="1"/>
  <c r="B9" i="2543" s="1"/>
  <c r="B8" i="2543" s="1"/>
  <c r="B7" i="2543" s="1"/>
  <c r="B6" i="2543" s="1"/>
  <c r="B5" i="2543" s="1"/>
  <c r="B4" i="2543" s="1"/>
  <c r="B3" i="2543" s="1"/>
  <c r="B13" i="2543"/>
  <c r="B26" i="2633" l="1"/>
  <c r="B18" i="2633"/>
  <c r="B18" i="2630"/>
  <c r="B14" i="2630"/>
  <c r="B31" i="2621"/>
  <c r="B20" i="2621"/>
  <c r="B18" i="2619"/>
  <c r="B14" i="2619"/>
  <c r="B22" i="2616"/>
  <c r="B16" i="2616"/>
  <c r="B18" i="2614"/>
  <c r="B14" i="2614"/>
  <c r="B26" i="2610"/>
  <c r="B18" i="2610"/>
  <c r="B18" i="2607"/>
  <c r="B14" i="2607"/>
  <c r="B31" i="2598"/>
  <c r="B20" i="2598"/>
  <c r="B18" i="2596"/>
  <c r="B14" i="2596"/>
  <c r="B22" i="2593"/>
  <c r="B16" i="2593"/>
  <c r="B18" i="2591"/>
  <c r="B14" i="2591"/>
  <c r="B26" i="2587"/>
  <c r="B18" i="2587"/>
  <c r="B18" i="2584"/>
  <c r="B14" i="2584"/>
  <c r="B31" i="2575"/>
  <c r="B20" i="2575"/>
  <c r="B18" i="2573"/>
  <c r="B14" i="2573"/>
  <c r="B22" i="2570"/>
  <c r="B16" i="2570"/>
  <c r="B18" i="2568"/>
  <c r="B14" i="2568"/>
  <c r="B26" i="2564"/>
  <c r="B18" i="2564"/>
  <c r="B18" i="2561"/>
  <c r="B14" i="2561"/>
  <c r="B31" i="2552"/>
  <c r="B20" i="2552"/>
  <c r="B18" i="2550"/>
  <c r="B14" i="2550"/>
  <c r="B22" i="2547"/>
  <c r="B16" i="2547"/>
  <c r="B18" i="2545"/>
  <c r="B14" i="2545"/>
  <c r="B25" i="2633" l="1"/>
  <c r="B17" i="2633"/>
  <c r="B17" i="2630"/>
  <c r="B12" i="2630" s="1"/>
  <c r="B11" i="2630" s="1"/>
  <c r="B10" i="2630" s="1"/>
  <c r="B9" i="2630" s="1"/>
  <c r="B8" i="2630" s="1"/>
  <c r="B7" i="2630" s="1"/>
  <c r="B6" i="2630" s="1"/>
  <c r="B5" i="2630" s="1"/>
  <c r="B4" i="2630" s="1"/>
  <c r="B3" i="2630" s="1"/>
  <c r="B13" i="2630"/>
  <c r="B30" i="2621"/>
  <c r="B19" i="2621"/>
  <c r="B17" i="2619"/>
  <c r="B12" i="2619" s="1"/>
  <c r="B11" i="2619" s="1"/>
  <c r="B10" i="2619" s="1"/>
  <c r="B9" i="2619" s="1"/>
  <c r="B8" i="2619" s="1"/>
  <c r="B7" i="2619" s="1"/>
  <c r="B6" i="2619" s="1"/>
  <c r="B5" i="2619" s="1"/>
  <c r="B4" i="2619" s="1"/>
  <c r="B3" i="2619" s="1"/>
  <c r="B13" i="2619"/>
  <c r="B21" i="2616"/>
  <c r="B15" i="2616"/>
  <c r="B17" i="2614"/>
  <c r="B12" i="2614" s="1"/>
  <c r="B11" i="2614" s="1"/>
  <c r="B10" i="2614" s="1"/>
  <c r="B9" i="2614" s="1"/>
  <c r="B8" i="2614" s="1"/>
  <c r="B7" i="2614" s="1"/>
  <c r="B6" i="2614" s="1"/>
  <c r="B5" i="2614" s="1"/>
  <c r="B4" i="2614" s="1"/>
  <c r="B3" i="2614" s="1"/>
  <c r="B13" i="2614"/>
  <c r="B25" i="2610"/>
  <c r="B17" i="2610"/>
  <c r="B17" i="2607"/>
  <c r="B12" i="2607" s="1"/>
  <c r="B11" i="2607" s="1"/>
  <c r="B10" i="2607" s="1"/>
  <c r="B9" i="2607" s="1"/>
  <c r="B8" i="2607" s="1"/>
  <c r="B7" i="2607" s="1"/>
  <c r="B6" i="2607" s="1"/>
  <c r="B5" i="2607" s="1"/>
  <c r="B4" i="2607" s="1"/>
  <c r="B3" i="2607" s="1"/>
  <c r="B13" i="2607"/>
  <c r="B30" i="2598"/>
  <c r="B19" i="2598"/>
  <c r="B17" i="2596"/>
  <c r="B12" i="2596" s="1"/>
  <c r="B11" i="2596" s="1"/>
  <c r="B10" i="2596" s="1"/>
  <c r="B9" i="2596" s="1"/>
  <c r="B8" i="2596" s="1"/>
  <c r="B7" i="2596" s="1"/>
  <c r="B6" i="2596" s="1"/>
  <c r="B5" i="2596" s="1"/>
  <c r="B4" i="2596" s="1"/>
  <c r="B3" i="2596" s="1"/>
  <c r="B13" i="2596"/>
  <c r="B21" i="2593"/>
  <c r="B15" i="2593"/>
  <c r="B17" i="2591"/>
  <c r="B12" i="2591" s="1"/>
  <c r="B11" i="2591" s="1"/>
  <c r="B10" i="2591" s="1"/>
  <c r="B9" i="2591" s="1"/>
  <c r="B8" i="2591" s="1"/>
  <c r="B7" i="2591" s="1"/>
  <c r="B6" i="2591" s="1"/>
  <c r="B5" i="2591" s="1"/>
  <c r="B4" i="2591" s="1"/>
  <c r="B3" i="2591" s="1"/>
  <c r="B13" i="2591"/>
  <c r="B25" i="2587"/>
  <c r="B17" i="2587"/>
  <c r="B17" i="2584"/>
  <c r="B12" i="2584" s="1"/>
  <c r="B11" i="2584" s="1"/>
  <c r="B10" i="2584" s="1"/>
  <c r="B9" i="2584" s="1"/>
  <c r="B8" i="2584" s="1"/>
  <c r="B7" i="2584" s="1"/>
  <c r="B6" i="2584" s="1"/>
  <c r="B5" i="2584" s="1"/>
  <c r="B4" i="2584" s="1"/>
  <c r="B3" i="2584" s="1"/>
  <c r="B13" i="2584"/>
  <c r="B30" i="2575"/>
  <c r="B19" i="2575"/>
  <c r="B17" i="2573"/>
  <c r="B12" i="2573" s="1"/>
  <c r="B11" i="2573" s="1"/>
  <c r="B10" i="2573" s="1"/>
  <c r="B9" i="2573" s="1"/>
  <c r="B8" i="2573" s="1"/>
  <c r="B7" i="2573" s="1"/>
  <c r="B6" i="2573" s="1"/>
  <c r="B5" i="2573" s="1"/>
  <c r="B4" i="2573" s="1"/>
  <c r="B3" i="2573" s="1"/>
  <c r="B13" i="2573"/>
  <c r="B21" i="2570"/>
  <c r="B15" i="2570"/>
  <c r="B17" i="2568"/>
  <c r="B12" i="2568" s="1"/>
  <c r="B11" i="2568" s="1"/>
  <c r="B10" i="2568" s="1"/>
  <c r="B9" i="2568" s="1"/>
  <c r="B8" i="2568" s="1"/>
  <c r="B7" i="2568" s="1"/>
  <c r="B6" i="2568" s="1"/>
  <c r="B5" i="2568" s="1"/>
  <c r="B4" i="2568" s="1"/>
  <c r="B3" i="2568" s="1"/>
  <c r="B13" i="2568"/>
  <c r="B25" i="2564"/>
  <c r="B17" i="2564"/>
  <c r="B17" i="2561"/>
  <c r="B12" i="2561" s="1"/>
  <c r="B11" i="2561" s="1"/>
  <c r="B10" i="2561" s="1"/>
  <c r="B9" i="2561" s="1"/>
  <c r="B8" i="2561" s="1"/>
  <c r="B7" i="2561" s="1"/>
  <c r="B6" i="2561" s="1"/>
  <c r="B5" i="2561" s="1"/>
  <c r="B4" i="2561" s="1"/>
  <c r="B3" i="2561" s="1"/>
  <c r="B13" i="2561"/>
  <c r="B30" i="2552"/>
  <c r="B19" i="2552"/>
  <c r="B17" i="2550"/>
  <c r="B12" i="2550" s="1"/>
  <c r="B11" i="2550" s="1"/>
  <c r="B10" i="2550" s="1"/>
  <c r="B9" i="2550" s="1"/>
  <c r="B8" i="2550" s="1"/>
  <c r="B7" i="2550" s="1"/>
  <c r="B6" i="2550" s="1"/>
  <c r="B5" i="2550" s="1"/>
  <c r="B4" i="2550" s="1"/>
  <c r="B3" i="2550" s="1"/>
  <c r="B13" i="2550"/>
  <c r="B21" i="2547"/>
  <c r="B15" i="2547"/>
  <c r="B17" i="2545"/>
  <c r="B12" i="2545" s="1"/>
  <c r="B11" i="2545" s="1"/>
  <c r="B10" i="2545" s="1"/>
  <c r="B9" i="2545" s="1"/>
  <c r="B8" i="2545" s="1"/>
  <c r="B7" i="2545" s="1"/>
  <c r="B6" i="2545" s="1"/>
  <c r="B5" i="2545" s="1"/>
  <c r="B4" i="2545" s="1"/>
  <c r="B3" i="2545" s="1"/>
  <c r="B13" i="2545"/>
  <c r="B24" i="2633" l="1"/>
  <c r="B16" i="2633"/>
  <c r="B29" i="2621"/>
  <c r="B18" i="2621"/>
  <c r="B20" i="2616"/>
  <c r="B14" i="2616"/>
  <c r="B24" i="2610"/>
  <c r="B16" i="2610"/>
  <c r="B29" i="2598"/>
  <c r="B18" i="2598"/>
  <c r="B20" i="2593"/>
  <c r="B14" i="2593"/>
  <c r="B24" i="2587"/>
  <c r="B16" i="2587"/>
  <c r="B29" i="2575"/>
  <c r="B18" i="2575"/>
  <c r="B20" i="2570"/>
  <c r="B14" i="2570"/>
  <c r="B24" i="2564"/>
  <c r="B16" i="2564"/>
  <c r="B29" i="2552"/>
  <c r="B18" i="2552"/>
  <c r="B20" i="2547"/>
  <c r="B14" i="2547"/>
  <c r="B23" i="2633" l="1"/>
  <c r="B15" i="2633"/>
  <c r="B28" i="2621"/>
  <c r="B17" i="2621"/>
  <c r="B19" i="2616"/>
  <c r="B12" i="2616" s="1"/>
  <c r="B11" i="2616" s="1"/>
  <c r="B10" i="2616" s="1"/>
  <c r="B9" i="2616" s="1"/>
  <c r="B8" i="2616" s="1"/>
  <c r="B7" i="2616" s="1"/>
  <c r="B6" i="2616" s="1"/>
  <c r="B5" i="2616" s="1"/>
  <c r="B4" i="2616" s="1"/>
  <c r="B3" i="2616" s="1"/>
  <c r="B13" i="2616"/>
  <c r="B23" i="2610"/>
  <c r="B15" i="2610"/>
  <c r="B28" i="2598"/>
  <c r="B17" i="2598"/>
  <c r="B19" i="2593"/>
  <c r="B12" i="2593" s="1"/>
  <c r="B11" i="2593" s="1"/>
  <c r="B10" i="2593" s="1"/>
  <c r="B9" i="2593" s="1"/>
  <c r="B8" i="2593" s="1"/>
  <c r="B7" i="2593" s="1"/>
  <c r="B6" i="2593" s="1"/>
  <c r="B5" i="2593" s="1"/>
  <c r="B4" i="2593" s="1"/>
  <c r="B3" i="2593" s="1"/>
  <c r="B13" i="2593"/>
  <c r="B23" i="2587"/>
  <c r="B15" i="2587"/>
  <c r="B28" i="2575"/>
  <c r="B17" i="2575"/>
  <c r="B19" i="2570"/>
  <c r="B12" i="2570" s="1"/>
  <c r="B11" i="2570" s="1"/>
  <c r="B10" i="2570" s="1"/>
  <c r="B9" i="2570" s="1"/>
  <c r="B8" i="2570" s="1"/>
  <c r="B7" i="2570" s="1"/>
  <c r="B6" i="2570" s="1"/>
  <c r="B5" i="2570" s="1"/>
  <c r="B4" i="2570" s="1"/>
  <c r="B3" i="2570" s="1"/>
  <c r="B13" i="2570"/>
  <c r="B23" i="2564"/>
  <c r="B15" i="2564"/>
  <c r="B28" i="2552"/>
  <c r="B17" i="2552"/>
  <c r="B19" i="2547"/>
  <c r="B12" i="2547" s="1"/>
  <c r="B11" i="2547" s="1"/>
  <c r="B10" i="2547" s="1"/>
  <c r="B9" i="2547" s="1"/>
  <c r="B8" i="2547" s="1"/>
  <c r="B7" i="2547" s="1"/>
  <c r="B6" i="2547" s="1"/>
  <c r="B5" i="2547" s="1"/>
  <c r="B4" i="2547" s="1"/>
  <c r="B3" i="2547" s="1"/>
  <c r="B13" i="2547"/>
  <c r="B22" i="2633" l="1"/>
  <c r="B14" i="2633"/>
  <c r="B27" i="2621"/>
  <c r="B16" i="2621"/>
  <c r="B22" i="2610"/>
  <c r="B14" i="2610"/>
  <c r="B27" i="2598"/>
  <c r="B16" i="2598"/>
  <c r="B22" i="2587"/>
  <c r="B14" i="2587"/>
  <c r="B27" i="2575"/>
  <c r="B16" i="2575"/>
  <c r="B22" i="2564"/>
  <c r="B14" i="2564"/>
  <c r="B27" i="2552"/>
  <c r="B16" i="2552"/>
  <c r="B21" i="2633" l="1"/>
  <c r="B12" i="2633" s="1"/>
  <c r="B11" i="2633" s="1"/>
  <c r="B10" i="2633" s="1"/>
  <c r="B9" i="2633" s="1"/>
  <c r="B8" i="2633" s="1"/>
  <c r="B7" i="2633" s="1"/>
  <c r="B6" i="2633" s="1"/>
  <c r="B5" i="2633" s="1"/>
  <c r="B4" i="2633" s="1"/>
  <c r="B3" i="2633" s="1"/>
  <c r="B13" i="2633"/>
  <c r="B26" i="2621"/>
  <c r="B15" i="2621"/>
  <c r="B21" i="2610"/>
  <c r="B12" i="2610" s="1"/>
  <c r="B11" i="2610" s="1"/>
  <c r="B10" i="2610" s="1"/>
  <c r="B9" i="2610" s="1"/>
  <c r="B8" i="2610" s="1"/>
  <c r="B7" i="2610" s="1"/>
  <c r="B6" i="2610" s="1"/>
  <c r="B5" i="2610" s="1"/>
  <c r="B4" i="2610" s="1"/>
  <c r="B3" i="2610" s="1"/>
  <c r="B13" i="2610"/>
  <c r="B26" i="2598"/>
  <c r="B15" i="2598"/>
  <c r="B21" i="2587"/>
  <c r="B12" i="2587" s="1"/>
  <c r="B11" i="2587" s="1"/>
  <c r="B10" i="2587" s="1"/>
  <c r="B9" i="2587" s="1"/>
  <c r="B8" i="2587" s="1"/>
  <c r="B7" i="2587" s="1"/>
  <c r="B6" i="2587" s="1"/>
  <c r="B5" i="2587" s="1"/>
  <c r="B4" i="2587" s="1"/>
  <c r="B3" i="2587" s="1"/>
  <c r="B13" i="2587"/>
  <c r="B26" i="2575"/>
  <c r="B15" i="2575"/>
  <c r="B21" i="2564"/>
  <c r="B12" i="2564" s="1"/>
  <c r="B11" i="2564" s="1"/>
  <c r="B10" i="2564" s="1"/>
  <c r="B9" i="2564" s="1"/>
  <c r="B8" i="2564" s="1"/>
  <c r="B7" i="2564" s="1"/>
  <c r="B6" i="2564" s="1"/>
  <c r="B5" i="2564" s="1"/>
  <c r="B4" i="2564" s="1"/>
  <c r="B3" i="2564" s="1"/>
  <c r="B13" i="2564"/>
  <c r="B26" i="2552"/>
  <c r="B15" i="2552"/>
  <c r="B25" i="2621" l="1"/>
  <c r="B14" i="2621"/>
  <c r="B25" i="2598"/>
  <c r="B14" i="2598"/>
  <c r="B25" i="2575"/>
  <c r="B14" i="2575"/>
  <c r="B25" i="2552"/>
  <c r="B14" i="2552"/>
  <c r="B24" i="2621" l="1"/>
  <c r="B12" i="2621" s="1"/>
  <c r="B11" i="2621" s="1"/>
  <c r="B10" i="2621" s="1"/>
  <c r="B9" i="2621" s="1"/>
  <c r="B8" i="2621" s="1"/>
  <c r="B7" i="2621" s="1"/>
  <c r="B6" i="2621" s="1"/>
  <c r="B5" i="2621" s="1"/>
  <c r="B4" i="2621" s="1"/>
  <c r="B3" i="2621" s="1"/>
  <c r="B13" i="2621"/>
  <c r="B24" i="2598"/>
  <c r="B12" i="2598" s="1"/>
  <c r="B11" i="2598" s="1"/>
  <c r="B10" i="2598" s="1"/>
  <c r="B9" i="2598" s="1"/>
  <c r="B8" i="2598" s="1"/>
  <c r="B7" i="2598" s="1"/>
  <c r="B6" i="2598" s="1"/>
  <c r="B5" i="2598" s="1"/>
  <c r="B4" i="2598" s="1"/>
  <c r="B3" i="2598" s="1"/>
  <c r="B13" i="2598"/>
  <c r="B24" i="2575"/>
  <c r="B12" i="2575" s="1"/>
  <c r="B11" i="2575" s="1"/>
  <c r="B10" i="2575" s="1"/>
  <c r="B9" i="2575" s="1"/>
  <c r="B8" i="2575" s="1"/>
  <c r="B7" i="2575" s="1"/>
  <c r="B6" i="2575" s="1"/>
  <c r="B5" i="2575" s="1"/>
  <c r="B4" i="2575" s="1"/>
  <c r="B3" i="2575" s="1"/>
  <c r="B13" i="2575"/>
  <c r="B24" i="2552"/>
  <c r="B12" i="2552" s="1"/>
  <c r="B11" i="2552" s="1"/>
  <c r="B10" i="2552" s="1"/>
  <c r="B9" i="2552" s="1"/>
  <c r="B8" i="2552" s="1"/>
  <c r="B7" i="2552" s="1"/>
  <c r="B6" i="2552" s="1"/>
  <c r="B5" i="2552" s="1"/>
  <c r="B4" i="2552" s="1"/>
  <c r="B3" i="2552" s="1"/>
  <c r="B13" i="2552"/>
</calcChain>
</file>

<file path=xl/sharedStrings.xml><?xml version="1.0" encoding="utf-8"?>
<sst xmlns="http://schemas.openxmlformats.org/spreadsheetml/2006/main" count="33169" uniqueCount="1817">
  <si>
    <t>Shipment Date</t>
  </si>
  <si>
    <t>Title</t>
  </si>
  <si>
    <t>Value</t>
  </si>
  <si>
    <t>Option</t>
  </si>
  <si>
    <t>Auto+Hide+Hidesheet</t>
  </si>
  <si>
    <t>Agency Name:</t>
  </si>
  <si>
    <t>Hide</t>
  </si>
  <si>
    <t>Key</t>
  </si>
  <si>
    <t>Order #'s</t>
  </si>
  <si>
    <t>Pick #'s</t>
  </si>
  <si>
    <t>UOM</t>
  </si>
  <si>
    <t>Hide+?</t>
  </si>
  <si>
    <t>Agency No:</t>
  </si>
  <si>
    <t>Full Pallet Cubic Feet</t>
  </si>
  <si>
    <t>Cold Quantity Min for Palletizing</t>
  </si>
  <si>
    <t>Cold Cubic Feet Min for Palletizing</t>
  </si>
  <si>
    <t>Cold Weight Min for Palletizing</t>
  </si>
  <si>
    <t>DATASOURCE</t>
  </si>
  <si>
    <t>Ceres NTFB Live</t>
  </si>
  <si>
    <t>HIDE</t>
  </si>
  <si>
    <t>COMMENT:</t>
  </si>
  <si>
    <t>FT3</t>
  </si>
  <si>
    <t>LBS</t>
  </si>
  <si>
    <t>ZONE</t>
  </si>
  <si>
    <t>PICKED</t>
  </si>
  <si>
    <t>QTY</t>
  </si>
  <si>
    <t>PALLET</t>
  </si>
  <si>
    <t>DESCRIPTION</t>
  </si>
  <si>
    <t>BIN</t>
  </si>
  <si>
    <t>ITEM</t>
  </si>
  <si>
    <t>SHOW</t>
  </si>
  <si>
    <t>CHECK</t>
  </si>
  <si>
    <t>CHECKED BY:</t>
  </si>
  <si>
    <t>PICKED BY:</t>
  </si>
  <si>
    <t>Agency Number</t>
  </si>
  <si>
    <t>Ceres NTFB Test1</t>
  </si>
  <si>
    <t>AGENCY NAME:</t>
  </si>
  <si>
    <t>AGENCY NUMBER:</t>
  </si>
  <si>
    <t>SHIPMENT METHOD:</t>
  </si>
  <si>
    <t>SHIPMENT DATE:</t>
  </si>
  <si>
    <t>ORDER NUMBER(S):</t>
  </si>
  <si>
    <t>PICK TICKET(S):</t>
  </si>
  <si>
    <t>CASES PULLED:</t>
  </si>
  <si>
    <t>WEIGHT PULLED:</t>
  </si>
  <si>
    <t>REF|EGGS</t>
  </si>
  <si>
    <t>FRZ</t>
  </si>
  <si>
    <t>FULL PALLETS:</t>
  </si>
  <si>
    <t>ACTUAL PALLETS:</t>
  </si>
  <si>
    <t>TOTAL PALLETS:</t>
  </si>
  <si>
    <t>Orders:</t>
  </si>
  <si>
    <t>DATE:</t>
  </si>
  <si>
    <t>PALLET  _____  OF  _____</t>
  </si>
  <si>
    <t xml:space="preserve"> </t>
  </si>
  <si>
    <t>START TIME:</t>
  </si>
  <si>
    <t>END TIME:</t>
  </si>
  <si>
    <t>PULLED BY:</t>
  </si>
  <si>
    <t>A123456
ITPN-197751</t>
  </si>
  <si>
    <t>REF</t>
  </si>
  <si>
    <t>ORDER LINES:</t>
  </si>
  <si>
    <t>F4K</t>
  </si>
  <si>
    <t>DELIVER</t>
  </si>
  <si>
    <t>PICKUP</t>
  </si>
  <si>
    <t>SHIPMENT DATE</t>
  </si>
  <si>
    <t>DATASOURCE=</t>
  </si>
  <si>
    <t>DELIVERY ZONE</t>
  </si>
  <si>
    <t>AGENCY NUMBER</t>
  </si>
  <si>
    <t>AGENCY NAME</t>
  </si>
  <si>
    <t>COUNTY</t>
  </si>
  <si>
    <t>CATEGORY</t>
  </si>
  <si>
    <t>GIVEN</t>
  </si>
  <si>
    <t>PICKER</t>
  </si>
  <si>
    <t>START</t>
  </si>
  <si>
    <t>END</t>
  </si>
  <si>
    <t>PALLETS</t>
  </si>
  <si>
    <t>Agency</t>
  </si>
  <si>
    <t>Name/Storage</t>
  </si>
  <si>
    <t>County/Item No</t>
  </si>
  <si>
    <t>Description</t>
  </si>
  <si>
    <t>SIGN IN</t>
  </si>
  <si>
    <t>DRY|DRYUSDA|MCTF</t>
  </si>
  <si>
    <t>=+Options!C3</t>
  </si>
  <si>
    <t>=+Options!C8</t>
  </si>
  <si>
    <t>="PICK TICKET LOG  -  ORDERS TO SHIP ON "&amp;C2</t>
  </si>
  <si>
    <t>=F10</t>
  </si>
  <si>
    <t>=NL("Rows=2","Sales Header","Delivery Zone","Filters=",$B$2:$C$3,"+Delivery Zone","&lt;&gt;''")</t>
  </si>
  <si>
    <t>=IF(R11="F4K","HIDE","SHOW")</t>
  </si>
  <si>
    <t>=E10</t>
  </si>
  <si>
    <t>=IF(NL("First","Customer","Delivery Zone Code","No.","@@"&amp;G11)="","PICKUP",NL("First","Customer","Delivery Zone Code","No.","@@"&amp;G11))</t>
  </si>
  <si>
    <t>=H11</t>
  </si>
  <si>
    <t>=NL("Rows","Sales Header","Sell-to Customer No.","Delivery Zone","@@"&amp;$E11,"Filters=",$B$2:$C$3,"+Sell-to Customer Name","*")</t>
  </si>
  <si>
    <t>=NL("First","Customer","Name","No.","@@"&amp;G11)</t>
  </si>
  <si>
    <t>=NL("First","Customer","FBC County Code","No.",G11)</t>
  </si>
  <si>
    <t>="ORDERS = "&amp;NL("Countunique","Sales Line","DOCUMENT No.","SHIPMENT Date",$C$2,"Sell-to Customer No.",G11)</t>
  </si>
  <si>
    <t>=NL("First","Customer","FBC Agency Category Code","No.","@@"&amp;G11)</t>
  </si>
  <si>
    <t>=+F11</t>
  </si>
  <si>
    <t>="ORDER PREP REPORT  -  ORDERS TO SHIP ON "&amp;C8</t>
  </si>
  <si>
    <t>=F14</t>
  </si>
  <si>
    <t>=NL("Rows=2","Sales Header","Delivery Zone","Filters=",$B$2:$C$3,"+Delivery Zone","''")</t>
  </si>
  <si>
    <t>=IF(R15="F4K","HIDE","SHOW")</t>
  </si>
  <si>
    <t>=E14</t>
  </si>
  <si>
    <t>=IF(NL("First","Customer","Delivery Zone Code","No.","@@"&amp;G15)="","PICKUP",NL("First","Customer","Delivery Zone Code","No.","@@"&amp;G15))</t>
  </si>
  <si>
    <t>=H15</t>
  </si>
  <si>
    <t>=NL("Rows","Sales Header","Sell-to Customer No.","Delivery Zone","@@"&amp;$E15,"Filters=",$B$2:$C$3,"+Sell-to Customer Name","*")</t>
  </si>
  <si>
    <t>=NL("First","Customer","Name","No.","@@"&amp;G15)</t>
  </si>
  <si>
    <t>=NL("First","Customer","FBC County Code","No.",G15)</t>
  </si>
  <si>
    <t>="ORDERS = "&amp;NL("Countunique","Sales Line","DOCUMENT No.","SHIPMENT Date",$C$2,"Sell-to Customer No.",G15)</t>
  </si>
  <si>
    <t>=NL("First","Customer","FBC Agency Category Code","No.","@@"&amp;G15)</t>
  </si>
  <si>
    <t>=+F15</t>
  </si>
  <si>
    <t>="FOOD4KIDS SIGN-IN  -  DATE: "&amp;C2</t>
  </si>
  <si>
    <t>=IF(R11="F4K","SHOW","HIDE")</t>
  </si>
  <si>
    <t>=IF(R15="F4K","SHOW","HIDE")</t>
  </si>
  <si>
    <t>=IF(F24="","HIDESHEET","")</t>
  </si>
  <si>
    <t>=IF(E24="",F5&amp;"  ("&amp;F4&amp;") - NO "&amp;C23,F5&amp;"  ("&amp;F4&amp;") - "&amp;C23&amp;" PICK LIST")</t>
  </si>
  <si>
    <t>=B4</t>
  </si>
  <si>
    <t>=B5</t>
  </si>
  <si>
    <t>=NL("SHEETS","Warehouse Activity Header","Destination No.","Shipment Date",Options!$C$3)</t>
  </si>
  <si>
    <t>=C4</t>
  </si>
  <si>
    <t>=SUM(I24:I25)</t>
  </si>
  <si>
    <t>=B6</t>
  </si>
  <si>
    <t>=NL("first","Warehouse Activity Header",,"destination no.",$C$4)</t>
  </si>
  <si>
    <t>=ROUND(SUM(O24:O25),0)</t>
  </si>
  <si>
    <t>=B7</t>
  </si>
  <si>
    <t>=NL("first","Sales Header",,"Sell-to Customer No.",$C$4)</t>
  </si>
  <si>
    <t>=NF($C$6,"Shipment Method Code")</t>
  </si>
  <si>
    <t>=IF(F6="PICKUP","",NF($C$6,"Delivery Zone"))</t>
  </si>
  <si>
    <t>=ROUND(COUNT(O24:O25),0)</t>
  </si>
  <si>
    <t>="ESTIMATED "&amp;O23&amp;" PALLETS:"</t>
  </si>
  <si>
    <t>=B8</t>
  </si>
  <si>
    <t>=NF($C$5,"Shipment Date")</t>
  </si>
  <si>
    <t>=B9</t>
  </si>
  <si>
    <t>=B10</t>
  </si>
  <si>
    <t>=B11</t>
  </si>
  <si>
    <t>=B12</t>
  </si>
  <si>
    <t>=B13</t>
  </si>
  <si>
    <t>=NL("Rows","Warehouse Activity Header",,"destination no.",$C$4,"shipment date",Options!$C$3)</t>
  </si>
  <si>
    <t>=NF($C12,"Source No.")</t>
  </si>
  <si>
    <t>=NF($C12,"No.")</t>
  </si>
  <si>
    <t>=B14</t>
  </si>
  <si>
    <t>=E12</t>
  </si>
  <si>
    <t>=F12</t>
  </si>
  <si>
    <t>=B15</t>
  </si>
  <si>
    <t>=IF(NP("join",E12:E13,"|")="|","",NP("join",E12:E13,"|"))</t>
  </si>
  <si>
    <t>=IF(NP("join",F12:F13,"|")="|","",NP("join",F12:F13,"|"))</t>
  </si>
  <si>
    <t>=B16</t>
  </si>
  <si>
    <t>=TRIM(NF($C$6,"Delivery Info"))</t>
  </si>
  <si>
    <t>=B17</t>
  </si>
  <si>
    <t>=B18</t>
  </si>
  <si>
    <t>=B19</t>
  </si>
  <si>
    <t>=B20</t>
  </si>
  <si>
    <t>=B21</t>
  </si>
  <si>
    <t>=B22</t>
  </si>
  <si>
    <t>=B23</t>
  </si>
  <si>
    <t>=B24</t>
  </si>
  <si>
    <t>=IF(I24="","Hide","Show")</t>
  </si>
  <si>
    <t>=NL("Rows","warehouse activity line",,"No.",$F$14,"+Bin Code","*","zone code",C23)</t>
  </si>
  <si>
    <t>=NF($C24,"Bin Code")</t>
  </si>
  <si>
    <t>=NF($C24,"Pallet No.")</t>
  </si>
  <si>
    <t>=NF($C24,"Item no.")</t>
  </si>
  <si>
    <t>=NF($C24,"Source No.")&amp;" 
 "&amp;NF($C24,"No.")</t>
  </si>
  <si>
    <t>=NF($C24,"Description")</t>
  </si>
  <si>
    <t>=NF($C24,"quantity")</t>
  </si>
  <si>
    <t>=NF($C24,"Unit of Measure Code")</t>
  </si>
  <si>
    <t>=IFERROR(NF($C24,"Cubic Feet"),"")</t>
  </si>
  <si>
    <t>=NF($C24,"Ext. Gross Weight")</t>
  </si>
  <si>
    <t>=NF($C24,"Zone Code")</t>
  </si>
  <si>
    <t>=+B25</t>
  </si>
  <si>
    <t>=+"END OF "&amp;D2</t>
  </si>
  <si>
    <t>=+F6</t>
  </si>
  <si>
    <t>=+F4</t>
  </si>
  <si>
    <t>=+F5</t>
  </si>
  <si>
    <t>=NL("Rows","Warehouse Activity Header","Source No.","destination no.",$C$4)</t>
  </si>
  <si>
    <t>=+F7</t>
  </si>
  <si>
    <t>=IF(F6="DELIVER",G6,F6)</t>
  </si>
  <si>
    <t>Hide+Auto</t>
  </si>
  <si>
    <t>Auto</t>
  </si>
  <si>
    <t>ORDERS = 1</t>
  </si>
  <si>
    <t>ORDERS = 2</t>
  </si>
  <si>
    <t>DALLAS</t>
  </si>
  <si>
    <t>P</t>
  </si>
  <si>
    <t/>
  </si>
  <si>
    <t xml:space="preserve"> 
 </t>
  </si>
  <si>
    <t>=E16</t>
  </si>
  <si>
    <t>=F16</t>
  </si>
  <si>
    <t>DRY</t>
  </si>
  <si>
    <t>HIDE+Auto</t>
  </si>
  <si>
    <t>=IF(R18="F4K","HIDE","SHOW")</t>
  </si>
  <si>
    <t>=E17</t>
  </si>
  <si>
    <t>=IF(NL("First","Customer","Delivery Zone Code","No.","@@"&amp;G18)="","PICKUP",NL("First","Customer","Delivery Zone Code","No.","@@"&amp;G18))</t>
  </si>
  <si>
    <t>=H18</t>
  </si>
  <si>
    <t>=NL("First","Customer","Name","No.","@@"&amp;G18)</t>
  </si>
  <si>
    <t>=NL("First","Customer","FBC County Code","No.",G18)</t>
  </si>
  <si>
    <t>="ORDERS = "&amp;NL("Countunique","Sales Line","DOCUMENT No.","SHIPMENT Date",$C$2,"Sell-to Customer No.",G18)</t>
  </si>
  <si>
    <t>=NL("First","Customer","FBC Agency Category Code","No.","@@"&amp;G18)</t>
  </si>
  <si>
    <t>=+F18</t>
  </si>
  <si>
    <t>=IF(R18="F4K","SHOW","HIDE")</t>
  </si>
  <si>
    <t>=IF(F25="","HIDESHEET","")</t>
  </si>
  <si>
    <t>=IF(E25="",F5&amp;"  ("&amp;F4&amp;") - NO "&amp;C24,F5&amp;"  ("&amp;F4&amp;") - "&amp;C24&amp;" PICK LIST")</t>
  </si>
  <si>
    <t>=SUM(I25:I26)</t>
  </si>
  <si>
    <t>=ROUND(SUM(O25:O26),0)</t>
  </si>
  <si>
    <t>=ROUND(COUNT(O25:O26),0)</t>
  </si>
  <si>
    <t>="ESTIMATED "&amp;O24&amp;" PALLETS:"</t>
  </si>
  <si>
    <t>=E15</t>
  </si>
  <si>
    <t>=F15</t>
  </si>
  <si>
    <t>=NF($C13,"Source No.")</t>
  </si>
  <si>
    <t>=NF($C13,"No.")</t>
  </si>
  <si>
    <t>=IF(NP("join",E12:E14,"|")="|","",NP("join",E12:E14,"|"))</t>
  </si>
  <si>
    <t>=IF(NP("join",F12:F14,"|")="|","",NP("join",F12:F14,"|"))</t>
  </si>
  <si>
    <t>=B25</t>
  </si>
  <si>
    <t>=IF(I25="","Hide","Show")</t>
  </si>
  <si>
    <t>=NL("Rows","warehouse activity line",,"No.",$F$15,"+Bin Code","*","zone code",C24)</t>
  </si>
  <si>
    <t>=NF($C25,"Bin Code")</t>
  </si>
  <si>
    <t>=NF($C25,"Pallet No.")</t>
  </si>
  <si>
    <t>=NF($C25,"Item no.")</t>
  </si>
  <si>
    <t>=NF($C25,"Source No.")&amp;" 
 "&amp;NF($C25,"No.")</t>
  </si>
  <si>
    <t>=NF($C25,"Description")</t>
  </si>
  <si>
    <t>=NF($C25,"quantity")</t>
  </si>
  <si>
    <t>=NF($C25,"Unit of Measure Code")</t>
  </si>
  <si>
    <t>=IFERROR(NF($C25,"Cubic Feet"),"")</t>
  </si>
  <si>
    <t>=NF($C25,"Ext. Gross Weight")</t>
  </si>
  <si>
    <t>=NF($C25,"Zone Code")</t>
  </si>
  <si>
    <t>=+B26</t>
  </si>
  <si>
    <t>=NF($C14,"Source No.")</t>
  </si>
  <si>
    <t>=NF($C14,"No.")</t>
  </si>
  <si>
    <t>=NF($C15,"Source No.")</t>
  </si>
  <si>
    <t>=NF($C15,"No.")</t>
  </si>
  <si>
    <t>=B26</t>
  </si>
  <si>
    <t>=B27</t>
  </si>
  <si>
    <t>=IF(I27="","Hide","Show")</t>
  </si>
  <si>
    <t>=NF($C27,"Source No.")&amp;" 
 "&amp;NF($C27,"No.")</t>
  </si>
  <si>
    <t>=IFERROR(NF($C27,"Cubic Feet"),"")</t>
  </si>
  <si>
    <t>=IF(I28="","Hide","Show")</t>
  </si>
  <si>
    <t>=NF($C28,"Source No.")&amp;" 
 "&amp;NF($C28,"No.")</t>
  </si>
  <si>
    <t>=IFERROR(NF($C28,"Cubic Feet"),"")</t>
  </si>
  <si>
    <t>=IF(I29="","Hide","Show")</t>
  </si>
  <si>
    <t>=NF($C29,"Source No.")&amp;" 
 "&amp;NF($C29,"No.")</t>
  </si>
  <si>
    <t>=IFERROR(NF($C29,"Cubic Feet"),"")</t>
  </si>
  <si>
    <t>=IF(I30="","Hide","Show")</t>
  </si>
  <si>
    <t>=NF($C30,"Source No.")&amp;" 
 "&amp;NF($C30,"No.")</t>
  </si>
  <si>
    <t>=IFERROR(NF($C30,"Cubic Feet"),"")</t>
  </si>
  <si>
    <t>=IF(I31="","Hide","Show")</t>
  </si>
  <si>
    <t>=NF($C31,"Source No.")&amp;" 
 "&amp;NF($C31,"No.")</t>
  </si>
  <si>
    <t>=IFERROR(NF($C31,"Cubic Feet"),"")</t>
  </si>
  <si>
    <t>=+B32</t>
  </si>
  <si>
    <t>=NF($C27,"Bin Code")</t>
  </si>
  <si>
    <t>=NF($C28,"Bin Code")</t>
  </si>
  <si>
    <t>=NF($C29,"Bin Code")</t>
  </si>
  <si>
    <t>=NF($C30,"Bin Code")</t>
  </si>
  <si>
    <t>=NF($C31,"Bin Code")</t>
  </si>
  <si>
    <t>=NF($C27,"Pallet No.")</t>
  </si>
  <si>
    <t>=NF($C28,"Pallet No.")</t>
  </si>
  <si>
    <t>=NF($C29,"Pallet No.")</t>
  </si>
  <si>
    <t>=NF($C30,"Pallet No.")</t>
  </si>
  <si>
    <t>=NF($C31,"Pallet No.")</t>
  </si>
  <si>
    <t>=NF($C27,"Item no.")</t>
  </si>
  <si>
    <t>=NF($C28,"Item no.")</t>
  </si>
  <si>
    <t>=NF($C29,"Item no.")</t>
  </si>
  <si>
    <t>=NF($C30,"Item no.")</t>
  </si>
  <si>
    <t>=NF($C31,"Item no.")</t>
  </si>
  <si>
    <t>=NF($C27,"Description")</t>
  </si>
  <si>
    <t>=NF($C28,"Description")</t>
  </si>
  <si>
    <t>=NF($C29,"Description")</t>
  </si>
  <si>
    <t>=NF($C30,"Description")</t>
  </si>
  <si>
    <t>=NF($C31,"Description")</t>
  </si>
  <si>
    <t>=NF($C27,"quantity")</t>
  </si>
  <si>
    <t>=NF($C28,"quantity")</t>
  </si>
  <si>
    <t>=NF($C29,"quantity")</t>
  </si>
  <si>
    <t>=NF($C30,"quantity")</t>
  </si>
  <si>
    <t>=NF($C31,"quantity")</t>
  </si>
  <si>
    <t>=NF($C27,"Unit of Measure Code")</t>
  </si>
  <si>
    <t>=NF($C28,"Unit of Measure Code")</t>
  </si>
  <si>
    <t>=NF($C29,"Unit of Measure Code")</t>
  </si>
  <si>
    <t>=NF($C30,"Unit of Measure Code")</t>
  </si>
  <si>
    <t>=NF($C31,"Unit of Measure Code")</t>
  </si>
  <si>
    <t>=NF($C27,"Ext. Gross Weight")</t>
  </si>
  <si>
    <t>=NF($C28,"Ext. Gross Weight")</t>
  </si>
  <si>
    <t>=NF($C29,"Ext. Gross Weight")</t>
  </si>
  <si>
    <t>=NF($C30,"Ext. Gross Weight")</t>
  </si>
  <si>
    <t>=NF($C31,"Ext. Gross Weight")</t>
  </si>
  <si>
    <t>=NF($C27,"Zone Code")</t>
  </si>
  <si>
    <t>=NF($C28,"Zone Code")</t>
  </si>
  <si>
    <t>=NF($C29,"Zone Code")</t>
  </si>
  <si>
    <t>=NF($C30,"Zone Code")</t>
  </si>
  <si>
    <t>=NF($C31,"Zone Code")</t>
  </si>
  <si>
    <t>=+B28</t>
  </si>
  <si>
    <t>=+B29</t>
  </si>
  <si>
    <t>ORDERS = 5</t>
  </si>
  <si>
    <t>CS</t>
  </si>
  <si>
    <t>52-29-01</t>
  </si>
  <si>
    <t>=IF(F26="","HIDESHEET","")</t>
  </si>
  <si>
    <t>=IF(E26="",F5&amp;"  ("&amp;F4&amp;") - NO "&amp;C25,F5&amp;"  ("&amp;F4&amp;") - "&amp;C25&amp;" PICK LIST")</t>
  </si>
  <si>
    <t>="ESTIMATED "&amp;O25&amp;" PALLETS:"</t>
  </si>
  <si>
    <t>=IF(NP("join",E12:E15,"|")="|","",NP("join",E12:E15,"|"))</t>
  </si>
  <si>
    <t>=IF(NP("join",F12:F15,"|")="|","",NP("join",F12:F15,"|"))</t>
  </si>
  <si>
    <t>=IF(I26="","Hide","Show")</t>
  </si>
  <si>
    <t>=NL("Rows","warehouse activity line",,"No.",$F$16,"+Bin Code","*","zone code",C25)</t>
  </si>
  <si>
    <t>=NF($C26,"Source No.")&amp;" 
 "&amp;NF($C26,"No.")</t>
  </si>
  <si>
    <t>=IFERROR(NF($C26,"Cubic Feet"),"")</t>
  </si>
  <si>
    <t>=IF(I32="","Hide","Show")</t>
  </si>
  <si>
    <t>=NF($C32,"Source No.")&amp;" 
 "&amp;NF($C32,"No.")</t>
  </si>
  <si>
    <t>=IFERROR(NF($C32,"Cubic Feet"),"")</t>
  </si>
  <si>
    <t>=IF(I33="","Hide","Show")</t>
  </si>
  <si>
    <t>=NF($C33,"Source No.")&amp;" 
 "&amp;NF($C33,"No.")</t>
  </si>
  <si>
    <t>=IFERROR(NF($C33,"Cubic Feet"),"")</t>
  </si>
  <si>
    <t>=IF(I34="","Hide","Show")</t>
  </si>
  <si>
    <t>=NF($C34,"Source No.")&amp;" 
 "&amp;NF($C34,"No.")</t>
  </si>
  <si>
    <t>=IFERROR(NF($C34,"Cubic Feet"),"")</t>
  </si>
  <si>
    <t>=IF(I35="","Hide","Show")</t>
  </si>
  <si>
    <t>=NF($C35,"Source No.")&amp;" 
 "&amp;NF($C35,"No.")</t>
  </si>
  <si>
    <t>=IFERROR(NF($C35,"Cubic Feet"),"")</t>
  </si>
  <si>
    <t>=IF(I36="","Hide","Show")</t>
  </si>
  <si>
    <t>=NF($C36,"Source No.")&amp;" 
 "&amp;NF($C36,"No.")</t>
  </si>
  <si>
    <t>=IFERROR(NF($C36,"Cubic Feet"),"")</t>
  </si>
  <si>
    <t>=IF(I37="","Hide","Show")</t>
  </si>
  <si>
    <t>=NF($C37,"Source No.")&amp;" 
 "&amp;NF($C37,"No.")</t>
  </si>
  <si>
    <t>=IFERROR(NF($C37,"Cubic Feet"),"")</t>
  </si>
  <si>
    <t>=IF(I38="","Hide","Show")</t>
  </si>
  <si>
    <t>=NF($C38,"Source No.")&amp;" 
 "&amp;NF($C38,"No.")</t>
  </si>
  <si>
    <t>=IFERROR(NF($C38,"Cubic Feet"),"")</t>
  </si>
  <si>
    <t>=NF($C26,"Bin Code")</t>
  </si>
  <si>
    <t>=NF($C32,"Bin Code")</t>
  </si>
  <si>
    <t>=NF($C33,"Bin Code")</t>
  </si>
  <si>
    <t>=NF($C34,"Bin Code")</t>
  </si>
  <si>
    <t>=NF($C35,"Bin Code")</t>
  </si>
  <si>
    <t>=NF($C36,"Bin Code")</t>
  </si>
  <si>
    <t>=NF($C37,"Bin Code")</t>
  </si>
  <si>
    <t>=NF($C38,"Bin Code")</t>
  </si>
  <si>
    <t>=NF($C26,"Pallet No.")</t>
  </si>
  <si>
    <t>=NF($C32,"Pallet No.")</t>
  </si>
  <si>
    <t>=NF($C33,"Pallet No.")</t>
  </si>
  <si>
    <t>=NF($C34,"Pallet No.")</t>
  </si>
  <si>
    <t>=NF($C35,"Pallet No.")</t>
  </si>
  <si>
    <t>=NF($C36,"Pallet No.")</t>
  </si>
  <si>
    <t>=NF($C37,"Pallet No.")</t>
  </si>
  <si>
    <t>=NF($C38,"Pallet No.")</t>
  </si>
  <si>
    <t>=NF($C26,"Item no.")</t>
  </si>
  <si>
    <t>=NF($C32,"Item no.")</t>
  </si>
  <si>
    <t>=NF($C33,"Item no.")</t>
  </si>
  <si>
    <t>=NF($C34,"Item no.")</t>
  </si>
  <si>
    <t>=NF($C35,"Item no.")</t>
  </si>
  <si>
    <t>=NF($C36,"Item no.")</t>
  </si>
  <si>
    <t>=NF($C37,"Item no.")</t>
  </si>
  <si>
    <t>=NF($C38,"Item no.")</t>
  </si>
  <si>
    <t>=NF($C26,"Description")</t>
  </si>
  <si>
    <t>=NF($C32,"Description")</t>
  </si>
  <si>
    <t>=NF($C33,"Description")</t>
  </si>
  <si>
    <t>=NF($C34,"Description")</t>
  </si>
  <si>
    <t>=NF($C35,"Description")</t>
  </si>
  <si>
    <t>=NF($C36,"Description")</t>
  </si>
  <si>
    <t>=NF($C37,"Description")</t>
  </si>
  <si>
    <t>=NF($C38,"Description")</t>
  </si>
  <si>
    <t>=NF($C26,"quantity")</t>
  </si>
  <si>
    <t>=NF($C32,"quantity")</t>
  </si>
  <si>
    <t>=NF($C33,"quantity")</t>
  </si>
  <si>
    <t>=NF($C34,"quantity")</t>
  </si>
  <si>
    <t>=NF($C35,"quantity")</t>
  </si>
  <si>
    <t>=NF($C36,"quantity")</t>
  </si>
  <si>
    <t>=NF($C37,"quantity")</t>
  </si>
  <si>
    <t>=NF($C38,"quantity")</t>
  </si>
  <si>
    <t>=NF($C26,"Unit of Measure Code")</t>
  </si>
  <si>
    <t>=NF($C32,"Unit of Measure Code")</t>
  </si>
  <si>
    <t>=NF($C33,"Unit of Measure Code")</t>
  </si>
  <si>
    <t>=NF($C34,"Unit of Measure Code")</t>
  </si>
  <si>
    <t>=NF($C35,"Unit of Measure Code")</t>
  </si>
  <si>
    <t>=NF($C36,"Unit of Measure Code")</t>
  </si>
  <si>
    <t>=NF($C37,"Unit of Measure Code")</t>
  </si>
  <si>
    <t>=NF($C38,"Unit of Measure Code")</t>
  </si>
  <si>
    <t>=NF($C26,"Ext. Gross Weight")</t>
  </si>
  <si>
    <t>=NF($C32,"Ext. Gross Weight")</t>
  </si>
  <si>
    <t>=NF($C33,"Ext. Gross Weight")</t>
  </si>
  <si>
    <t>=NF($C34,"Ext. Gross Weight")</t>
  </si>
  <si>
    <t>=NF($C35,"Ext. Gross Weight")</t>
  </si>
  <si>
    <t>=NF($C36,"Ext. Gross Weight")</t>
  </si>
  <si>
    <t>=NF($C37,"Ext. Gross Weight")</t>
  </si>
  <si>
    <t>=NF($C38,"Ext. Gross Weight")</t>
  </si>
  <si>
    <t>=NF($C26,"Zone Code")</t>
  </si>
  <si>
    <t>=NF($C32,"Zone Code")</t>
  </si>
  <si>
    <t>=NF($C33,"Zone Code")</t>
  </si>
  <si>
    <t>=NF($C34,"Zone Code")</t>
  </si>
  <si>
    <t>=NF($C35,"Zone Code")</t>
  </si>
  <si>
    <t>=NF($C36,"Zone Code")</t>
  </si>
  <si>
    <t>=NF($C37,"Zone Code")</t>
  </si>
  <si>
    <t>=NF($C38,"Zone Code")</t>
  </si>
  <si>
    <t>=SUM(I26:I27)</t>
  </si>
  <si>
    <t>=ROUND(SUM(O26:O27),0)</t>
  </si>
  <si>
    <t>=ROUND(COUNT(O26:O27),0)</t>
  </si>
  <si>
    <t>=+B27</t>
  </si>
  <si>
    <t>=IF(R13="F4K","HIDE","SHOW")</t>
  </si>
  <si>
    <t>=IF(NL("First","Customer","Delivery Zone Code","No.","@@"&amp;G13)="","PICKUP",NL("First","Customer","Delivery Zone Code","No.","@@"&amp;G13))</t>
  </si>
  <si>
    <t>=H13</t>
  </si>
  <si>
    <t>=NL("First","Customer","Name","No.","@@"&amp;G13)</t>
  </si>
  <si>
    <t>=NL("First","Customer","FBC County Code","No.",G13)</t>
  </si>
  <si>
    <t>="ORDERS = "&amp;NL("Countunique","Sales Line","DOCUMENT No.","SHIPMENT Date",$C$2,"Sell-to Customer No.",G13)</t>
  </si>
  <si>
    <t>=NL("First","Customer","FBC Agency Category Code","No.","@@"&amp;G13)</t>
  </si>
  <si>
    <t>=+F13</t>
  </si>
  <si>
    <t>=IF(R17="F4K","HIDE","SHOW")</t>
  </si>
  <si>
    <t>=IF(NL("First","Customer","Delivery Zone Code","No.","@@"&amp;G17)="","PICKUP",NL("First","Customer","Delivery Zone Code","No.","@@"&amp;G17))</t>
  </si>
  <si>
    <t>=H17</t>
  </si>
  <si>
    <t>=NL("First","Customer","Name","No.","@@"&amp;G17)</t>
  </si>
  <si>
    <t>=NL("First","Customer","FBC County Code","No.",G17)</t>
  </si>
  <si>
    <t>="ORDERS = "&amp;NL("Countunique","Sales Line","DOCUMENT No.","SHIPMENT Date",$C$2,"Sell-to Customer No.",G17)</t>
  </si>
  <si>
    <t>=NL("First","Customer","FBC Agency Category Code","No.","@@"&amp;G17)</t>
  </si>
  <si>
    <t>=+F17</t>
  </si>
  <si>
    <t>=E18</t>
  </si>
  <si>
    <t>=IF(R20="F4K","HIDE","SHOW")</t>
  </si>
  <si>
    <t>=E19</t>
  </si>
  <si>
    <t>=IF(NL("First","Customer","Delivery Zone Code","No.","@@"&amp;G20)="","PICKUP",NL("First","Customer","Delivery Zone Code","No.","@@"&amp;G20))</t>
  </si>
  <si>
    <t>=H20</t>
  </si>
  <si>
    <t>=NL("First","Customer","Name","No.","@@"&amp;G20)</t>
  </si>
  <si>
    <t>=NL("First","Customer","FBC County Code","No.",G20)</t>
  </si>
  <si>
    <t>="ORDERS = "&amp;NL("Countunique","Sales Line","DOCUMENT No.","SHIPMENT Date",$C$2,"Sell-to Customer No.",G20)</t>
  </si>
  <si>
    <t>=NL("First","Customer","FBC Agency Category Code","No.","@@"&amp;G20)</t>
  </si>
  <si>
    <t>=+F20</t>
  </si>
  <si>
    <t>=F21</t>
  </si>
  <si>
    <t>=IF(R22="F4K","HIDE","SHOW")</t>
  </si>
  <si>
    <t>=E21</t>
  </si>
  <si>
    <t>=IF(NL("First","Customer","Delivery Zone Code","No.","@@"&amp;G22)="","PICKUP",NL("First","Customer","Delivery Zone Code","No.","@@"&amp;G22))</t>
  </si>
  <si>
    <t>=H22</t>
  </si>
  <si>
    <t>=NL("Rows","Sales Header","Sell-to Customer No.","Delivery Zone","@@"&amp;$E22,"Filters=",$B$2:$C$3,"+Sell-to Customer Name","*")</t>
  </si>
  <si>
    <t>=NL("First","Customer","Name","No.","@@"&amp;G22)</t>
  </si>
  <si>
    <t>=NL("First","Customer","FBC County Code","No.",G22)</t>
  </si>
  <si>
    <t>="ORDERS = "&amp;NL("Countunique","Sales Line","DOCUMENT No.","SHIPMENT Date",$C$2,"Sell-to Customer No.",G22)</t>
  </si>
  <si>
    <t>=NL("First","Customer","FBC Agency Category Code","No.","@@"&amp;G22)</t>
  </si>
  <si>
    <t>=+F22</t>
  </si>
  <si>
    <t>=E22</t>
  </si>
  <si>
    <t>=IF(R24="F4K","HIDE","SHOW")</t>
  </si>
  <si>
    <t>=E23</t>
  </si>
  <si>
    <t>=IF(NL("First","Customer","Delivery Zone Code","No.","@@"&amp;G24)="","PICKUP",NL("First","Customer","Delivery Zone Code","No.","@@"&amp;G24))</t>
  </si>
  <si>
    <t>=H24</t>
  </si>
  <si>
    <t>=NL("First","Customer","Name","No.","@@"&amp;G24)</t>
  </si>
  <si>
    <t>=NL("First","Customer","FBC County Code","No.",G24)</t>
  </si>
  <si>
    <t>="ORDERS = "&amp;NL("Countunique","Sales Line","DOCUMENT No.","SHIPMENT Date",$C$2,"Sell-to Customer No.",G24)</t>
  </si>
  <si>
    <t>=NL("First","Customer","FBC Agency Category Code","No.","@@"&amp;G24)</t>
  </si>
  <si>
    <t>=+F24</t>
  </si>
  <si>
    <t>=E25</t>
  </si>
  <si>
    <t>=IF(R29="F4K","HIDE","SHOW")</t>
  </si>
  <si>
    <t>=E28</t>
  </si>
  <si>
    <t>=IF(NL("First","Customer","Delivery Zone Code","No.","@@"&amp;G29)="","PICKUP",NL("First","Customer","Delivery Zone Code","No.","@@"&amp;G29))</t>
  </si>
  <si>
    <t>=H29</t>
  </si>
  <si>
    <t>=NL("First","Customer","Name","No.","@@"&amp;G29)</t>
  </si>
  <si>
    <t>=NL("First","Customer","FBC County Code","No.",G29)</t>
  </si>
  <si>
    <t>="ORDERS = "&amp;NL("Countunique","Sales Line","DOCUMENT No.","SHIPMENT Date",$C$2,"Sell-to Customer No.",G29)</t>
  </si>
  <si>
    <t>=NL("First","Customer","FBC Agency Category Code","No.","@@"&amp;G29)</t>
  </si>
  <si>
    <t>=+F29</t>
  </si>
  <si>
    <t>=IF(R30="F4K","HIDE","SHOW")</t>
  </si>
  <si>
    <t>=E29</t>
  </si>
  <si>
    <t>=IF(NL("First","Customer","Delivery Zone Code","No.","@@"&amp;G30)="","PICKUP",NL("First","Customer","Delivery Zone Code","No.","@@"&amp;G30))</t>
  </si>
  <si>
    <t>=H30</t>
  </si>
  <si>
    <t>=NL("First","Customer","Name","No.","@@"&amp;G30)</t>
  </si>
  <si>
    <t>=NL("First","Customer","FBC County Code","No.",G30)</t>
  </si>
  <si>
    <t>="ORDERS = "&amp;NL("Countunique","Sales Line","DOCUMENT No.","SHIPMENT Date",$C$2,"Sell-to Customer No.",G30)</t>
  </si>
  <si>
    <t>=NL("First","Customer","FBC Agency Category Code","No.","@@"&amp;G30)</t>
  </si>
  <si>
    <t>=+F30</t>
  </si>
  <si>
    <t>=IF(R31="F4K","HIDE","SHOW")</t>
  </si>
  <si>
    <t>=E30</t>
  </si>
  <si>
    <t>=IF(NL("First","Customer","Delivery Zone Code","No.","@@"&amp;G31)="","PICKUP",NL("First","Customer","Delivery Zone Code","No.","@@"&amp;G31))</t>
  </si>
  <si>
    <t>=H31</t>
  </si>
  <si>
    <t>=NL("First","Customer","Name","No.","@@"&amp;G31)</t>
  </si>
  <si>
    <t>=NL("First","Customer","FBC County Code","No.",G31)</t>
  </si>
  <si>
    <t>="ORDERS = "&amp;NL("Countunique","Sales Line","DOCUMENT No.","SHIPMENT Date",$C$2,"Sell-to Customer No.",G31)</t>
  </si>
  <si>
    <t>=NL("First","Customer","FBC Agency Category Code","No.","@@"&amp;G31)</t>
  </si>
  <si>
    <t>=+F31</t>
  </si>
  <si>
    <t>=IF(R32="F4K","HIDE","SHOW")</t>
  </si>
  <si>
    <t>=E31</t>
  </si>
  <si>
    <t>=IF(NL("First","Customer","Delivery Zone Code","No.","@@"&amp;G32)="","PICKUP",NL("First","Customer","Delivery Zone Code","No.","@@"&amp;G32))</t>
  </si>
  <si>
    <t>=H32</t>
  </si>
  <si>
    <t>=NL("First","Customer","Name","No.","@@"&amp;G32)</t>
  </si>
  <si>
    <t>=NL("First","Customer","FBC County Code","No.",G32)</t>
  </si>
  <si>
    <t>="ORDERS = "&amp;NL("Countunique","Sales Line","DOCUMENT No.","SHIPMENT Date",$C$2,"Sell-to Customer No.",G32)</t>
  </si>
  <si>
    <t>=NL("First","Customer","FBC Agency Category Code","No.","@@"&amp;G32)</t>
  </si>
  <si>
    <t>=+F32</t>
  </si>
  <si>
    <t>=IF(R34="F4K","HIDE","SHOW")</t>
  </si>
  <si>
    <t>=E33</t>
  </si>
  <si>
    <t>=IF(NL("First","Customer","Delivery Zone Code","No.","@@"&amp;G34)="","PICKUP",NL("First","Customer","Delivery Zone Code","No.","@@"&amp;G34))</t>
  </si>
  <si>
    <t>=H34</t>
  </si>
  <si>
    <t>=NL("First","Customer","Name","No.","@@"&amp;G34)</t>
  </si>
  <si>
    <t>=NL("First","Customer","FBC County Code","No.",G34)</t>
  </si>
  <si>
    <t>="ORDERS = "&amp;NL("Countunique","Sales Line","DOCUMENT No.","SHIPMENT Date",$C$2,"Sell-to Customer No.",G34)</t>
  </si>
  <si>
    <t>=NL("First","Customer","FBC Agency Category Code","No.","@@"&amp;G34)</t>
  </si>
  <si>
    <t>=+F34</t>
  </si>
  <si>
    <t>="NAVARRO 1"</t>
  </si>
  <si>
    <t>=IF(R36="F4K","HIDE","SHOW")</t>
  </si>
  <si>
    <t>=E35</t>
  </si>
  <si>
    <t>=IF(NL("First","Customer","Delivery Zone Code","No.","@@"&amp;G36)="","PICKUP",NL("First","Customer","Delivery Zone Code","No.","@@"&amp;G36))</t>
  </si>
  <si>
    <t>=H36</t>
  </si>
  <si>
    <t>=NL("First","Customer","Name","No.","@@"&amp;G36)</t>
  </si>
  <si>
    <t>=NL("First","Customer","FBC County Code","No.",G36)</t>
  </si>
  <si>
    <t>="ORDERS = "&amp;NL("Countunique","Sales Line","DOCUMENT No.","SHIPMENT Date",$C$2,"Sell-to Customer No.",G36)</t>
  </si>
  <si>
    <t>=NL("First","Customer","FBC Agency Category Code","No.","@@"&amp;G36)</t>
  </si>
  <si>
    <t>=+F36</t>
  </si>
  <si>
    <t>=IF(R37="F4K","HIDE","SHOW")</t>
  </si>
  <si>
    <t>=E36</t>
  </si>
  <si>
    <t>=IF(NL("First","Customer","Delivery Zone Code","No.","@@"&amp;G37)="","PICKUP",NL("First","Customer","Delivery Zone Code","No.","@@"&amp;G37))</t>
  </si>
  <si>
    <t>=H37</t>
  </si>
  <si>
    <t>="002491P"</t>
  </si>
  <si>
    <t>=NL("First","Customer","Name","No.","@@"&amp;G37)</t>
  </si>
  <si>
    <t>=NL("First","Customer","FBC County Code","No.",G37)</t>
  </si>
  <si>
    <t>="ORDERS = "&amp;NL("Countunique","Sales Line","DOCUMENT No.","SHIPMENT Date",$C$2,"Sell-to Customer No.",G37)</t>
  </si>
  <si>
    <t>=NL("First","Customer","FBC Agency Category Code","No.","@@"&amp;G37)</t>
  </si>
  <si>
    <t>=+F37</t>
  </si>
  <si>
    <t>=IF(R38="F4K","HIDE","SHOW")</t>
  </si>
  <si>
    <t>=E37</t>
  </si>
  <si>
    <t>=IF(NL("First","Customer","Delivery Zone Code","No.","@@"&amp;G38)="","PICKUP",NL("First","Customer","Delivery Zone Code","No.","@@"&amp;G38))</t>
  </si>
  <si>
    <t>=H38</t>
  </si>
  <si>
    <t>=NL("First","Customer","Name","No.","@@"&amp;G38)</t>
  </si>
  <si>
    <t>=NL("First","Customer","FBC County Code","No.",G38)</t>
  </si>
  <si>
    <t>="ORDERS = "&amp;NL("Countunique","Sales Line","DOCUMENT No.","SHIPMENT Date",$C$2,"Sell-to Customer No.",G38)</t>
  </si>
  <si>
    <t>=NL("First","Customer","FBC Agency Category Code","No.","@@"&amp;G38)</t>
  </si>
  <si>
    <t>=+F38</t>
  </si>
  <si>
    <t>=IF(R39="F4K","HIDE","SHOW")</t>
  </si>
  <si>
    <t>=E38</t>
  </si>
  <si>
    <t>=IF(NL("First","Customer","Delivery Zone Code","No.","@@"&amp;G39)="","PICKUP",NL("First","Customer","Delivery Zone Code","No.","@@"&amp;G39))</t>
  </si>
  <si>
    <t>=H39</t>
  </si>
  <si>
    <t>=NL("First","Customer","Name","No.","@@"&amp;G39)</t>
  </si>
  <si>
    <t>=NL("First","Customer","FBC County Code","No.",G39)</t>
  </si>
  <si>
    <t>="ORDERS = "&amp;NL("Countunique","Sales Line","DOCUMENT No.","SHIPMENT Date",$C$2,"Sell-to Customer No.",G39)</t>
  </si>
  <si>
    <t>=NL("First","Customer","FBC Agency Category Code","No.","@@"&amp;G39)</t>
  </si>
  <si>
    <t>=+F39</t>
  </si>
  <si>
    <t>="026392P"</t>
  </si>
  <si>
    <t>="026066RA1"</t>
  </si>
  <si>
    <t>="026536RA"</t>
  </si>
  <si>
    <t>=IF(R13="F4K","SHOW","HIDE")</t>
  </si>
  <si>
    <t>=IF(R17="F4K","SHOW","HIDE")</t>
  </si>
  <si>
    <t>=IF(R20="F4K","SHOW","HIDE")</t>
  </si>
  <si>
    <t>=IF(R22="F4K","SHOW","HIDE")</t>
  </si>
  <si>
    <t>=IF(R24="F4K","SHOW","HIDE")</t>
  </si>
  <si>
    <t>=IF(R29="F4K","SHOW","HIDE")</t>
  </si>
  <si>
    <t>=IF(R30="F4K","SHOW","HIDE")</t>
  </si>
  <si>
    <t>=IF(R31="F4K","SHOW","HIDE")</t>
  </si>
  <si>
    <t>=IF(R32="F4K","SHOW","HIDE")</t>
  </si>
  <si>
    <t>=IF(R34="F4K","SHOW","HIDE")</t>
  </si>
  <si>
    <t>=IF(R36="F4K","SHOW","HIDE")</t>
  </si>
  <si>
    <t>=IF(R37="F4K","SHOW","HIDE")</t>
  </si>
  <si>
    <t>=IF(R38="F4K","SHOW","HIDE")</t>
  </si>
  <si>
    <t>=IF(R39="F4K","SHOW","HIDE")</t>
  </si>
  <si>
    <t>=B28</t>
  </si>
  <si>
    <t>=B29</t>
  </si>
  <si>
    <t>=B30</t>
  </si>
  <si>
    <t>=B31</t>
  </si>
  <si>
    <t>=IF(I39="","Hide","Show")</t>
  </si>
  <si>
    <t>=NF($C39,"Source No.")&amp;" 
 "&amp;NF($C39,"No.")</t>
  </si>
  <si>
    <t>=IFERROR(NF($C39,"Cubic Feet"),"")</t>
  </si>
  <si>
    <t>=IF(I40="","Hide","Show")</t>
  </si>
  <si>
    <t>=NF($C40,"Source No.")&amp;" 
 "&amp;NF($C40,"No.")</t>
  </si>
  <si>
    <t>=IFERROR(NF($C40,"Cubic Feet"),"")</t>
  </si>
  <si>
    <t>=IF(I41="","Hide","Show")</t>
  </si>
  <si>
    <t>=NF($C41,"Source No.")&amp;" 
 "&amp;NF($C41,"No.")</t>
  </si>
  <si>
    <t>=IFERROR(NF($C41,"Cubic Feet"),"")</t>
  </si>
  <si>
    <t>=IF(I42="","Hide","Show")</t>
  </si>
  <si>
    <t>=NF($C42,"Source No.")&amp;" 
 "&amp;NF($C42,"No.")</t>
  </si>
  <si>
    <t>=IFERROR(NF($C42,"Cubic Feet"),"")</t>
  </si>
  <si>
    <t>=IF(I43="","Hide","Show")</t>
  </si>
  <si>
    <t>=NF($C43,"Source No.")&amp;" 
 "&amp;NF($C43,"No.")</t>
  </si>
  <si>
    <t>=IFERROR(NF($C43,"Cubic Feet"),"")</t>
  </si>
  <si>
    <t>=IF(I44="","Hide","Show")</t>
  </si>
  <si>
    <t>=NF($C44,"Source No.")&amp;" 
 "&amp;NF($C44,"No.")</t>
  </si>
  <si>
    <t>=IFERROR(NF($C44,"Cubic Feet"),"")</t>
  </si>
  <si>
    <t>=IF(I45="","Hide","Show")</t>
  </si>
  <si>
    <t>=NF($C45,"Source No.")&amp;" 
 "&amp;NF($C45,"No.")</t>
  </si>
  <si>
    <t>=IFERROR(NF($C45,"Cubic Feet"),"")</t>
  </si>
  <si>
    <t>=IF(I46="","Hide","Show")</t>
  </si>
  <si>
    <t>=NF($C46,"Source No.")&amp;" 
 "&amp;NF($C46,"No.")</t>
  </si>
  <si>
    <t>=IFERROR(NF($C46,"Cubic Feet"),"")</t>
  </si>
  <si>
    <t>=IF(I47="","Hide","Show")</t>
  </si>
  <si>
    <t>=NF($C47,"Source No.")&amp;" 
 "&amp;NF($C47,"No.")</t>
  </si>
  <si>
    <t>=IFERROR(NF($C47,"Cubic Feet"),"")</t>
  </si>
  <si>
    <t>=IF(I48="","Hide","Show")</t>
  </si>
  <si>
    <t>=NF($C48,"Source No.")&amp;" 
 "&amp;NF($C48,"No.")</t>
  </si>
  <si>
    <t>=IFERROR(NF($C48,"Cubic Feet"),"")</t>
  </si>
  <si>
    <t>=IF(I49="","Hide","Show")</t>
  </si>
  <si>
    <t>=NF($C49,"Source No.")&amp;" 
 "&amp;NF($C49,"No.")</t>
  </si>
  <si>
    <t>=IFERROR(NF($C49,"Cubic Feet"),"")</t>
  </si>
  <si>
    <t>=NF($C16,"Source No.")</t>
  </si>
  <si>
    <t>=NF($C17,"Source No.")</t>
  </si>
  <si>
    <t>=NF($C18,"Source No.")</t>
  </si>
  <si>
    <t>=NF($C19,"Source No.")</t>
  </si>
  <si>
    <t>=NF($C16,"No.")</t>
  </si>
  <si>
    <t>=NF($C17,"No.")</t>
  </si>
  <si>
    <t>=NF($C18,"No.")</t>
  </si>
  <si>
    <t>=NF($C19,"No.")</t>
  </si>
  <si>
    <t>=NF($C39,"Bin Code")</t>
  </si>
  <si>
    <t>=NF($C40,"Bin Code")</t>
  </si>
  <si>
    <t>=NF($C41,"Bin Code")</t>
  </si>
  <si>
    <t>=NF($C42,"Bin Code")</t>
  </si>
  <si>
    <t>=NF($C43,"Bin Code")</t>
  </si>
  <si>
    <t>=NF($C44,"Bin Code")</t>
  </si>
  <si>
    <t>=NF($C45,"Bin Code")</t>
  </si>
  <si>
    <t>=NF($C46,"Bin Code")</t>
  </si>
  <si>
    <t>=NF($C47,"Bin Code")</t>
  </si>
  <si>
    <t>=NF($C48,"Bin Code")</t>
  </si>
  <si>
    <t>=NF($C49,"Bin Code")</t>
  </si>
  <si>
    <t>=NF($C39,"Pallet No.")</t>
  </si>
  <si>
    <t>=NF($C40,"Pallet No.")</t>
  </si>
  <si>
    <t>=NF($C41,"Pallet No.")</t>
  </si>
  <si>
    <t>=NF($C42,"Pallet No.")</t>
  </si>
  <si>
    <t>=NF($C43,"Pallet No.")</t>
  </si>
  <si>
    <t>=NF($C44,"Pallet No.")</t>
  </si>
  <si>
    <t>=NF($C45,"Pallet No.")</t>
  </si>
  <si>
    <t>=NF($C46,"Pallet No.")</t>
  </si>
  <si>
    <t>=NF($C47,"Pallet No.")</t>
  </si>
  <si>
    <t>=NF($C48,"Pallet No.")</t>
  </si>
  <si>
    <t>=NF($C49,"Pallet No.")</t>
  </si>
  <si>
    <t>=NF($C39,"Item no.")</t>
  </si>
  <si>
    <t>=NF($C40,"Item no.")</t>
  </si>
  <si>
    <t>=NF($C41,"Item no.")</t>
  </si>
  <si>
    <t>=NF($C42,"Item no.")</t>
  </si>
  <si>
    <t>=NF($C43,"Item no.")</t>
  </si>
  <si>
    <t>=NF($C44,"Item no.")</t>
  </si>
  <si>
    <t>=NF($C45,"Item no.")</t>
  </si>
  <si>
    <t>=NF($C46,"Item no.")</t>
  </si>
  <si>
    <t>=NF($C47,"Item no.")</t>
  </si>
  <si>
    <t>=NF($C48,"Item no.")</t>
  </si>
  <si>
    <t>=NF($C49,"Item no.")</t>
  </si>
  <si>
    <t>=NF($C39,"Description")</t>
  </si>
  <si>
    <t>=NF($C40,"Description")</t>
  </si>
  <si>
    <t>=NF($C41,"Description")</t>
  </si>
  <si>
    <t>=NF($C42,"Description")</t>
  </si>
  <si>
    <t>=NF($C43,"Description")</t>
  </si>
  <si>
    <t>=NF($C44,"Description")</t>
  </si>
  <si>
    <t>=NF($C45,"Description")</t>
  </si>
  <si>
    <t>=NF($C46,"Description")</t>
  </si>
  <si>
    <t>=NF($C47,"Description")</t>
  </si>
  <si>
    <t>=NF($C48,"Description")</t>
  </si>
  <si>
    <t>=NF($C49,"Description")</t>
  </si>
  <si>
    <t>=NF($C39,"quantity")</t>
  </si>
  <si>
    <t>=NF($C40,"quantity")</t>
  </si>
  <si>
    <t>=NF($C41,"quantity")</t>
  </si>
  <si>
    <t>=NF($C42,"quantity")</t>
  </si>
  <si>
    <t>=NF($C43,"quantity")</t>
  </si>
  <si>
    <t>=NF($C44,"quantity")</t>
  </si>
  <si>
    <t>=NF($C45,"quantity")</t>
  </si>
  <si>
    <t>=NF($C46,"quantity")</t>
  </si>
  <si>
    <t>=NF($C47,"quantity")</t>
  </si>
  <si>
    <t>=NF($C48,"quantity")</t>
  </si>
  <si>
    <t>=NF($C49,"quantity")</t>
  </si>
  <si>
    <t>=NF($C39,"Unit of Measure Code")</t>
  </si>
  <si>
    <t>=NF($C40,"Unit of Measure Code")</t>
  </si>
  <si>
    <t>=NF($C41,"Unit of Measure Code")</t>
  </si>
  <si>
    <t>=NF($C42,"Unit of Measure Code")</t>
  </si>
  <si>
    <t>=NF($C43,"Unit of Measure Code")</t>
  </si>
  <si>
    <t>=NF($C44,"Unit of Measure Code")</t>
  </si>
  <si>
    <t>=NF($C45,"Unit of Measure Code")</t>
  </si>
  <si>
    <t>=NF($C46,"Unit of Measure Code")</t>
  </si>
  <si>
    <t>=NF($C47,"Unit of Measure Code")</t>
  </si>
  <si>
    <t>=NF($C48,"Unit of Measure Code")</t>
  </si>
  <si>
    <t>=NF($C49,"Unit of Measure Code")</t>
  </si>
  <si>
    <t>=NF($C39,"Ext. Gross Weight")</t>
  </si>
  <si>
    <t>=NF($C40,"Ext. Gross Weight")</t>
  </si>
  <si>
    <t>=NF($C41,"Ext. Gross Weight")</t>
  </si>
  <si>
    <t>=NF($C42,"Ext. Gross Weight")</t>
  </si>
  <si>
    <t>=NF($C43,"Ext. Gross Weight")</t>
  </si>
  <si>
    <t>=NF($C44,"Ext. Gross Weight")</t>
  </si>
  <si>
    <t>=NF($C45,"Ext. Gross Weight")</t>
  </si>
  <si>
    <t>=NF($C46,"Ext. Gross Weight")</t>
  </si>
  <si>
    <t>=NF($C47,"Ext. Gross Weight")</t>
  </si>
  <si>
    <t>=NF($C48,"Ext. Gross Weight")</t>
  </si>
  <si>
    <t>=NF($C49,"Ext. Gross Weight")</t>
  </si>
  <si>
    <t>=NF($C39,"Zone Code")</t>
  </si>
  <si>
    <t>=NF($C40,"Zone Code")</t>
  </si>
  <si>
    <t>=NF($C41,"Zone Code")</t>
  </si>
  <si>
    <t>=NF($C42,"Zone Code")</t>
  </si>
  <si>
    <t>=NF($C43,"Zone Code")</t>
  </si>
  <si>
    <t>=NF($C44,"Zone Code")</t>
  </si>
  <si>
    <t>=NF($C45,"Zone Code")</t>
  </si>
  <si>
    <t>=NF($C46,"Zone Code")</t>
  </si>
  <si>
    <t>=NF($C47,"Zone Code")</t>
  </si>
  <si>
    <t>=NF($C48,"Zone Code")</t>
  </si>
  <si>
    <t>=NF($C49,"Zone Code")</t>
  </si>
  <si>
    <t>=F19</t>
  </si>
  <si>
    <t>=+B36</t>
  </si>
  <si>
    <t>=IF(F28="","HIDESHEET","")</t>
  </si>
  <si>
    <t>=IF(E28="",F5&amp;"  ("&amp;F4&amp;") - NO "&amp;C27,F5&amp;"  ("&amp;F4&amp;") - "&amp;C27&amp;" PICK LIST")</t>
  </si>
  <si>
    <t>=SUM(I28:I33)</t>
  </si>
  <si>
    <t>=ROUND(SUM(O28:O33),0)</t>
  </si>
  <si>
    <t>=ROUND(COUNT(O28:O33),0)</t>
  </si>
  <si>
    <t>="ESTIMATED "&amp;O27&amp;" PALLETS:"</t>
  </si>
  <si>
    <t>=F18</t>
  </si>
  <si>
    <t>=IF(NP("join",E12:E17,"|")="|","",NP("join",E12:E17,"|"))</t>
  </si>
  <si>
    <t>=IF(NP("join",F12:F17,"|")="|","",NP("join",F12:F17,"|"))</t>
  </si>
  <si>
    <t>=NL("Rows","warehouse activity line",,"No.",$F$18,"+Bin Code","*","zone code",C27)</t>
  </si>
  <si>
    <t>=+B33</t>
  </si>
  <si>
    <t>=+B31</t>
  </si>
  <si>
    <t>=+B37</t>
  </si>
  <si>
    <t>=+B38</t>
  </si>
  <si>
    <t>=SUM(I28:I38)</t>
  </si>
  <si>
    <t>=ROUND(SUM(O28:O38),0)</t>
  </si>
  <si>
    <t>=ROUND(COUNT(O28:O38),0)</t>
  </si>
  <si>
    <t>=SUM(I24:I26)</t>
  </si>
  <si>
    <t>=ROUND(SUM(O24:O26),0)</t>
  </si>
  <si>
    <t>=ROUND(COUNT(O24:O26),0)</t>
  </si>
  <si>
    <t>=SUM(I26:I30)</t>
  </si>
  <si>
    <t>=ROUND(SUM(O26:O30),0)</t>
  </si>
  <si>
    <t>=ROUND(COUNT(O26:O30),0)</t>
  </si>
  <si>
    <t>=+B30</t>
  </si>
  <si>
    <t>=SUM(I26:I28)</t>
  </si>
  <si>
    <t>=ROUND(SUM(O26:O28),0)</t>
  </si>
  <si>
    <t>=ROUND(COUNT(O26:O28),0)</t>
  </si>
  <si>
    <t>=SUM(I25:I28)</t>
  </si>
  <si>
    <t>=ROUND(SUM(O25:O28),0)</t>
  </si>
  <si>
    <t>=ROUND(COUNT(O25:O28),0)</t>
  </si>
  <si>
    <t>=+B34</t>
  </si>
  <si>
    <t>=SUM(I26:I32)</t>
  </si>
  <si>
    <t>=ROUND(SUM(O26:O32),0)</t>
  </si>
  <si>
    <t>=ROUND(COUNT(O26:O32),0)</t>
  </si>
  <si>
    <t>=+B43</t>
  </si>
  <si>
    <t>=IF(F32="","HIDESHEET","")</t>
  </si>
  <si>
    <t>=IF(E32="",F5&amp;"  ("&amp;F4&amp;") - NO "&amp;C31,F5&amp;"  ("&amp;F4&amp;") - "&amp;C31&amp;" PICK LIST")</t>
  </si>
  <si>
    <t>="ESTIMATED "&amp;O31&amp;" PALLETS:"</t>
  </si>
  <si>
    <t>=F22</t>
  </si>
  <si>
    <t>=IF(NP("join",E12:E21,"|")="|","",NP("join",E12:E21,"|"))</t>
  </si>
  <si>
    <t>=IF(NP("join",F12:F21,"|")="|","",NP("join",F12:F21,"|"))</t>
  </si>
  <si>
    <t>=B32</t>
  </si>
  <si>
    <t>=NL("Rows","warehouse activity line",,"No.",$F$22,"+Bin Code","*","zone code",C31)</t>
  </si>
  <si>
    <t>=NF($C20,"Source No.")</t>
  </si>
  <si>
    <t>=NF($C20,"No.")</t>
  </si>
  <si>
    <t>=SUM(I28:I29)</t>
  </si>
  <si>
    <t>=ROUND(SUM(O28:O29),0)</t>
  </si>
  <si>
    <t>=ROUND(COUNT(O28:O29),0)</t>
  </si>
  <si>
    <t>=SUM(I28:I30)</t>
  </si>
  <si>
    <t>=ROUND(SUM(O28:O30),0)</t>
  </si>
  <si>
    <t>=ROUND(COUNT(O28:O30),0)</t>
  </si>
  <si>
    <t>=SUM(I32:I33)</t>
  </si>
  <si>
    <t>=ROUND(SUM(O32:O33),0)</t>
  </si>
  <si>
    <t>=ROUND(COUNT(O32:O33),0)</t>
  </si>
  <si>
    <t>=SUM(I32:I37)</t>
  </si>
  <si>
    <t>=ROUND(SUM(O32:O37),0)</t>
  </si>
  <si>
    <t>=ROUND(COUNT(O32:O37),0)</t>
  </si>
  <si>
    <t>NORTH TEXAS FOOD BANK</t>
  </si>
  <si>
    <t>ORDERS = 4</t>
  </si>
  <si>
    <t>ORDERS = 3</t>
  </si>
  <si>
    <t>NAVARRO</t>
  </si>
  <si>
    <t>NAVARRO COUNTY FOOD PANTRY</t>
  </si>
  <si>
    <t>CARVER HEIGHTS BAPTIST CHURCH</t>
  </si>
  <si>
    <t>HOMEWARD BOUND TRINITY CENTER</t>
  </si>
  <si>
    <t>SOUL FOR CHRIST MINISTRY, INC</t>
  </si>
  <si>
    <t>CSFP</t>
  </si>
  <si>
    <t>RF</t>
  </si>
  <si>
    <t>RA</t>
  </si>
  <si>
    <t>NAVARRO 1</t>
  </si>
  <si>
    <t>1000000507</t>
  </si>
  <si>
    <t>PASTA, ASSORTED PACKAGES</t>
  </si>
  <si>
    <t>1000000429</t>
  </si>
  <si>
    <t>USDA CEREAL, CORNFLAKES (449)</t>
  </si>
  <si>
    <t>DRYUSDA</t>
  </si>
  <si>
    <t>1000000688</t>
  </si>
  <si>
    <t>USDA MILK,SHELF STABLE, 1%</t>
  </si>
  <si>
    <t>34-02-01</t>
  </si>
  <si>
    <t>1000000217</t>
  </si>
  <si>
    <t>USDA PEANUT BUTTER (395)</t>
  </si>
  <si>
    <t>33-15-01</t>
  </si>
  <si>
    <t>1000000503</t>
  </si>
  <si>
    <t>GREEN BEANS, ASSORTED CANNED</t>
  </si>
  <si>
    <t>1000000562</t>
  </si>
  <si>
    <t xml:space="preserve">USDA SPAGHETTI, WHOLE WHEAT </t>
  </si>
  <si>
    <t>1000003541</t>
  </si>
  <si>
    <t>ENSURE, MILK CHOCOLATE</t>
  </si>
  <si>
    <t>"Ceres NTFB Live","NTFB Live","36","1","Order","3","A107939"</t>
  </si>
  <si>
    <t>33-14-01</t>
  </si>
  <si>
    <t>"Ceres NTFB Live","NTFB Live","36","1","Order","3","A105877"</t>
  </si>
  <si>
    <t>02-49-01</t>
  </si>
  <si>
    <t>72-02-01</t>
  </si>
  <si>
    <t>P00193045</t>
  </si>
  <si>
    <t>1000003646</t>
  </si>
  <si>
    <t xml:space="preserve">JUICE, NAKED BLUE MACHINE /  MANGO JUICE </t>
  </si>
  <si>
    <t>52-35-01</t>
  </si>
  <si>
    <t>52-27-01</t>
  </si>
  <si>
    <t>P00191916</t>
  </si>
  <si>
    <t>1000003609</t>
  </si>
  <si>
    <t>MEAT, BEEF FAJITA, FROZEN</t>
  </si>
  <si>
    <t>53-20-01</t>
  </si>
  <si>
    <t>1000003610</t>
  </si>
  <si>
    <t>MEAT, CHICKEN BREAST FAJITA, FROZEN</t>
  </si>
  <si>
    <t>53-06-01</t>
  </si>
  <si>
    <t>P00185301</t>
  </si>
  <si>
    <t>1000002835</t>
  </si>
  <si>
    <t>GROUND TURKEY CHUBS, FROZEN - CO-OP</t>
  </si>
  <si>
    <t>53-16-01</t>
  </si>
  <si>
    <t>54-04-01</t>
  </si>
  <si>
    <t>1000001613</t>
  </si>
  <si>
    <t>PORK, ASSORTED MEAT BOX, FROZEN</t>
  </si>
  <si>
    <t>1000001612</t>
  </si>
  <si>
    <t>POULTRY, ASSORTED MEAT BOX, FROZEN</t>
  </si>
  <si>
    <t>52-13-01</t>
  </si>
  <si>
    <t>1000001614</t>
  </si>
  <si>
    <t>MISC, ASSORTED PRODUCTS BOX, FROZEN</t>
  </si>
  <si>
    <t>52-21-01</t>
  </si>
  <si>
    <t>P00192731</t>
  </si>
  <si>
    <t>1000003621</t>
  </si>
  <si>
    <t>PIE CRUST, FROZEN</t>
  </si>
  <si>
    <t>1000001611</t>
  </si>
  <si>
    <t>BEEF, ASSORTED MEAT BOX, FROZEN</t>
  </si>
  <si>
    <t>53-04-01</t>
  </si>
  <si>
    <t>1000003611</t>
  </si>
  <si>
    <t>GROUND CHICKEN CHUBS, FROZEN - CO-OP</t>
  </si>
  <si>
    <t>53-08-01</t>
  </si>
  <si>
    <t>=IF(R12="F4K","HIDE","SHOW")</t>
  </si>
  <si>
    <t>=E11</t>
  </si>
  <si>
    <t>=IF(NL("First","Customer","Delivery Zone Code","No.","@@"&amp;G12)="","PICKUP",NL("First","Customer","Delivery Zone Code","No.","@@"&amp;G12))</t>
  </si>
  <si>
    <t>=H12</t>
  </si>
  <si>
    <t>="026077P"</t>
  </si>
  <si>
    <t>=NL("First","Customer","Name","No.","@@"&amp;G12)</t>
  </si>
  <si>
    <t>=NL("First","Customer","FBC County Code","No.",G12)</t>
  </si>
  <si>
    <t>="ORDERS = "&amp;NL("Countunique","Sales Line","DOCUMENT No.","SHIPMENT Date",$C$2,"Sell-to Customer No.",G12)</t>
  </si>
  <si>
    <t>=NL("First","Customer","FBC Agency Category Code","No.","@@"&amp;G12)</t>
  </si>
  <si>
    <t>=+F12</t>
  </si>
  <si>
    <t>="026508P"</t>
  </si>
  <si>
    <t>="COLLIN 3"</t>
  </si>
  <si>
    <t>=IF(R16="F4K","HIDE","SHOW")</t>
  </si>
  <si>
    <t>=IF(NL("First","Customer","Delivery Zone Code","No.","@@"&amp;G16)="","PICKUP",NL("First","Customer","Delivery Zone Code","No.","@@"&amp;G16))</t>
  </si>
  <si>
    <t>=H16</t>
  </si>
  <si>
    <t>="002719P"</t>
  </si>
  <si>
    <t>=NL("First","Customer","Name","No.","@@"&amp;G16)</t>
  </si>
  <si>
    <t>=NL("First","Customer","FBC County Code","No.",G16)</t>
  </si>
  <si>
    <t>="ORDERS = "&amp;NL("Countunique","Sales Line","DOCUMENT No.","SHIPMENT Date",$C$2,"Sell-to Customer No.",G16)</t>
  </si>
  <si>
    <t>=NL("First","Customer","FBC Agency Category Code","No.","@@"&amp;G16)</t>
  </si>
  <si>
    <t>=+F16</t>
  </si>
  <si>
    <t>="002127P"</t>
  </si>
  <si>
    <t>="008146P"</t>
  </si>
  <si>
    <t>="DALLAS 11"</t>
  </si>
  <si>
    <t>=NL("Rows","Sales Header","Sell-to Customer No.","Delivery Zone","@@"&amp;$E20,"Filters=",$B$2:$C$3,"+Sell-to Customer Name","*")</t>
  </si>
  <si>
    <t>="DALLAS 4"</t>
  </si>
  <si>
    <t>=F23</t>
  </si>
  <si>
    <t>=NL("Rows","Sales Header","Sell-to Customer No.","Delivery Zone","@@"&amp;$E24,"Filters=",$B$2:$C$3,"+Sell-to Customer Name","*")</t>
  </si>
  <si>
    <t>=F27</t>
  </si>
  <si>
    <t>=IF(R28="F4K","HIDE","SHOW")</t>
  </si>
  <si>
    <t>=E27</t>
  </si>
  <si>
    <t>=IF(NL("First","Customer","Delivery Zone Code","No.","@@"&amp;G28)="","PICKUP",NL("First","Customer","Delivery Zone Code","No.","@@"&amp;G28))</t>
  </si>
  <si>
    <t>=H28</t>
  </si>
  <si>
    <t>=NL("Rows","Sales Header","Sell-to Customer No.","Delivery Zone","@@"&amp;$E28,"Filters=",$B$2:$C$3,"+Sell-to Customer Name","*")</t>
  </si>
  <si>
    <t>=NL("First","Customer","Name","No.","@@"&amp;G28)</t>
  </si>
  <si>
    <t>=NL("First","Customer","FBC County Code","No.",G28)</t>
  </si>
  <si>
    <t>="ORDERS = "&amp;NL("Countunique","Sales Line","DOCUMENT No.","SHIPMENT Date",$C$2,"Sell-to Customer No.",G28)</t>
  </si>
  <si>
    <t>=NL("First","Customer","FBC Agency Category Code","No.","@@"&amp;G28)</t>
  </si>
  <si>
    <t>=+F28</t>
  </si>
  <si>
    <t>="026056P5"</t>
  </si>
  <si>
    <t>="001042RA"</t>
  </si>
  <si>
    <t>="026284P"</t>
  </si>
  <si>
    <t>="002051P"</t>
  </si>
  <si>
    <t>=IF(R33="F4K","HIDE","SHOW")</t>
  </si>
  <si>
    <t>=E32</t>
  </si>
  <si>
    <t>=IF(NL("First","Customer","Delivery Zone Code","No.","@@"&amp;G33)="","PICKUP",NL("First","Customer","Delivery Zone Code","No.","@@"&amp;G33))</t>
  </si>
  <si>
    <t>=H33</t>
  </si>
  <si>
    <t>="003549RA"</t>
  </si>
  <si>
    <t>=NL("First","Customer","Name","No.","@@"&amp;G33)</t>
  </si>
  <si>
    <t>=NL("First","Customer","FBC County Code","No.",G33)</t>
  </si>
  <si>
    <t>="ORDERS = "&amp;NL("Countunique","Sales Line","DOCUMENT No.","SHIPMENT Date",$C$2,"Sell-to Customer No.",G33)</t>
  </si>
  <si>
    <t>=NL("First","Customer","FBC Agency Category Code","No.","@@"&amp;G33)</t>
  </si>
  <si>
    <t>=+F33</t>
  </si>
  <si>
    <t>="004052HSF"</t>
  </si>
  <si>
    <t>=IF(R35="F4K","HIDE","SHOW")</t>
  </si>
  <si>
    <t>=E34</t>
  </si>
  <si>
    <t>=IF(NL("First","Customer","Delivery Zone Code","No.","@@"&amp;G35)="","PICKUP",NL("First","Customer","Delivery Zone Code","No.","@@"&amp;G35))</t>
  </si>
  <si>
    <t>=H35</t>
  </si>
  <si>
    <t>="003405P"</t>
  </si>
  <si>
    <t>=NL("First","Customer","Name","No.","@@"&amp;G35)</t>
  </si>
  <si>
    <t>=NL("First","Customer","FBC County Code","No.",G35)</t>
  </si>
  <si>
    <t>="ORDERS = "&amp;NL("Countunique","Sales Line","DOCUMENT No.","SHIPMENT Date",$C$2,"Sell-to Customer No.",G35)</t>
  </si>
  <si>
    <t>=NL("First","Customer","FBC Agency Category Code","No.","@@"&amp;G35)</t>
  </si>
  <si>
    <t>=+F35</t>
  </si>
  <si>
    <t>="026575P"</t>
  </si>
  <si>
    <t>="002098P"</t>
  </si>
  <si>
    <t>="013600CSFP"</t>
  </si>
  <si>
    <t>=IF(R40="F4K","HIDE","SHOW")</t>
  </si>
  <si>
    <t>=E39</t>
  </si>
  <si>
    <t>=IF(NL("First","Customer","Delivery Zone Code","No.","@@"&amp;G40)="","PICKUP",NL("First","Customer","Delivery Zone Code","No.","@@"&amp;G40))</t>
  </si>
  <si>
    <t>=H40</t>
  </si>
  <si>
    <t>="002052P"</t>
  </si>
  <si>
    <t>=NL("First","Customer","Name","No.","@@"&amp;G40)</t>
  </si>
  <si>
    <t>=NL("First","Customer","FBC County Code","No.",G40)</t>
  </si>
  <si>
    <t>="ORDERS = "&amp;NL("Countunique","Sales Line","DOCUMENT No.","SHIPMENT Date",$C$2,"Sell-to Customer No.",G40)</t>
  </si>
  <si>
    <t>=NL("First","Customer","FBC Agency Category Code","No.","@@"&amp;G40)</t>
  </si>
  <si>
    <t>=+F40</t>
  </si>
  <si>
    <t>=IF(R41="F4K","HIDE","SHOW")</t>
  </si>
  <si>
    <t>=E40</t>
  </si>
  <si>
    <t>=IF(NL("First","Customer","Delivery Zone Code","No.","@@"&amp;G41)="","PICKUP",NL("First","Customer","Delivery Zone Code","No.","@@"&amp;G41))</t>
  </si>
  <si>
    <t>=H41</t>
  </si>
  <si>
    <t>=NL("First","Customer","Name","No.","@@"&amp;G41)</t>
  </si>
  <si>
    <t>=NL("First","Customer","FBC County Code","No.",G41)</t>
  </si>
  <si>
    <t>="ORDERS = "&amp;NL("Countunique","Sales Line","DOCUMENT No.","SHIPMENT Date",$C$2,"Sell-to Customer No.",G41)</t>
  </si>
  <si>
    <t>=NL("First","Customer","FBC Agency Category Code","No.","@@"&amp;G41)</t>
  </si>
  <si>
    <t>=+F41</t>
  </si>
  <si>
    <t>=IF(R42="F4K","HIDE","SHOW")</t>
  </si>
  <si>
    <t>=E41</t>
  </si>
  <si>
    <t>=IF(NL("First","Customer","Delivery Zone Code","No.","@@"&amp;G42)="","PICKUP",NL("First","Customer","Delivery Zone Code","No.","@@"&amp;G42))</t>
  </si>
  <si>
    <t>=H42</t>
  </si>
  <si>
    <t>="002341P"</t>
  </si>
  <si>
    <t>=NL("First","Customer","Name","No.","@@"&amp;G42)</t>
  </si>
  <si>
    <t>=NL("First","Customer","FBC County Code","No.",G42)</t>
  </si>
  <si>
    <t>="ORDERS = "&amp;NL("Countunique","Sales Line","DOCUMENT No.","SHIPMENT Date",$C$2,"Sell-to Customer No.",G42)</t>
  </si>
  <si>
    <t>=NL("First","Customer","FBC Agency Category Code","No.","@@"&amp;G42)</t>
  </si>
  <si>
    <t>=+F42</t>
  </si>
  <si>
    <t>=IF(R12="F4K","SHOW","HIDE")</t>
  </si>
  <si>
    <t>=IF(R16="F4K","SHOW","HIDE")</t>
  </si>
  <si>
    <t>=IF(R28="F4K","SHOW","HIDE")</t>
  </si>
  <si>
    <t>=IF(R33="F4K","SHOW","HIDE")</t>
  </si>
  <si>
    <t>=IF(R35="F4K","SHOW","HIDE")</t>
  </si>
  <si>
    <t>=IF(R40="F4K","SHOW","HIDE")</t>
  </si>
  <si>
    <t>=IF(R41="F4K","SHOW","HIDE")</t>
  </si>
  <si>
    <t>=IF(R42="F4K","SHOW","HIDE")</t>
  </si>
  <si>
    <t>COLLIN 1</t>
  </si>
  <si>
    <t>026637P</t>
  </si>
  <si>
    <t>026030P</t>
  </si>
  <si>
    <t>002131P</t>
  </si>
  <si>
    <t>002218P</t>
  </si>
  <si>
    <t>002491P</t>
  </si>
  <si>
    <t>026392P</t>
  </si>
  <si>
    <t>="""Ceres NTFB Live"",""NTFB Live"",""5767"",""1"",""Invt. Pick"",""2"",""ITPN-207416"",""3"",""10000"""</t>
  </si>
  <si>
    <t>="""Ceres NTFB Live"",""NTFB Live"",""5766"",""1"",""Invt. Pick"",""2"",""ITPN-207457"""</t>
  </si>
  <si>
    <t>="""Ceres NTFB Live"",""NTFB Live"",""5766"",""1"",""Invt. Pick"",""2"",""ITPN-207460"""</t>
  </si>
  <si>
    <t>="""Ceres NTFB Live"",""NTFB Live"",""5767"",""1"",""Invt. Pick"",""2"",""ITPN-207456"",""3"",""100000"""</t>
  </si>
  <si>
    <t>="""Ceres NTFB Live"",""NTFB Live"",""5767"",""1"",""Invt. Pick"",""2"",""ITPN-207456"",""3"",""60000"""</t>
  </si>
  <si>
    <t>="""Ceres NTFB Live"",""NTFB Live"",""5767"",""1"",""Invt. Pick"",""2"",""ITPN-207456"",""3"",""20000"""</t>
  </si>
  <si>
    <t>="""Ceres NTFB Live"",""NTFB Live"",""5767"",""1"",""Invt. Pick"",""2"",""ITPN-207456"",""3"",""80000"""</t>
  </si>
  <si>
    <t>="""Ceres NTFB Live"",""NTFB Live"",""5767"",""1"",""Invt. Pick"",""2"",""ITPN-207457"",""3"",""51000"""</t>
  </si>
  <si>
    <t>=SUM(I25:I32)</t>
  </si>
  <si>
    <t>=ROUND(SUM(O25:O32),0)</t>
  </si>
  <si>
    <t>=ROUND(COUNT(O25:O32),0)</t>
  </si>
  <si>
    <t>="""Ceres NTFB Live"",""NTFB Live"",""5766"",""1"",""Invt. Pick"",""2"",""ITPN-207478"""</t>
  </si>
  <si>
    <t>="""Ceres NTFB Live"",""NTFB Live"",""5767"",""1"",""Invt. Pick"",""2"",""ITPN-207476"",""3"",""40000"""</t>
  </si>
  <si>
    <t>="""Ceres NTFB Live"",""NTFB Live"",""5767"",""1"",""Invt. Pick"",""2"",""ITPN-207478"",""3"",""51000"""</t>
  </si>
  <si>
    <t>="""Ceres NTFB Live"",""NTFB Live"",""5767"",""1"",""Invt. Pick"",""2"",""ITPN-207476"",""3"",""60000"""</t>
  </si>
  <si>
    <t>="""Ceres NTFB Live"",""NTFB Live"",""5767"",""1"",""Invt. Pick"",""2"",""ITPN-207478"",""3"",""70000"""</t>
  </si>
  <si>
    <t>="""Ceres NTFB Live"",""NTFB Live"",""5767"",""1"",""Invt. Pick"",""2"",""ITPN-207476"",""3"",""50000"""</t>
  </si>
  <si>
    <t>="""Ceres NTFB Live"",""NTFB Live"",""5767"",""1"",""Invt. Pick"",""2"",""ITPN-207478"",""3"",""81000"""</t>
  </si>
  <si>
    <t>=SUM(I28:I37)</t>
  </si>
  <si>
    <t>=ROUND(SUM(O28:O37),0)</t>
  </si>
  <si>
    <t>=ROUND(COUNT(O28:O37),0)</t>
  </si>
  <si>
    <t>="""Ceres NTFB Live"",""NTFB Live"",""5766"",""1"",""Invt. Pick"",""2"",""ITPN-207429"""</t>
  </si>
  <si>
    <t>="""Ceres NTFB Live"",""NTFB Live"",""5766"",""1"",""Invt. Pick"",""2"",""ITPN-207443"""</t>
  </si>
  <si>
    <t>="A108061"</t>
  </si>
  <si>
    <t>="""Ceres NTFB Live"",""NTFB Live"",""5766"",""1"",""Invt. Pick"",""2"",""ITPN-207500"""</t>
  </si>
  <si>
    <t>="A108407"</t>
  </si>
  <si>
    <t>="""Ceres NTFB Live"",""NTFB Live"",""5766"",""1"",""Invt. Pick"",""2"",""ITPN-207501"""</t>
  </si>
  <si>
    <t>="""Ceres NTFB Live"",""NTFB Live"",""5767"",""1"",""Invt. Pick"",""2"",""ITPN-207443"",""3"",""80000"""</t>
  </si>
  <si>
    <t>="""Ceres NTFB Live"",""NTFB Live"",""5767"",""1"",""Invt. Pick"",""2"",""ITPN-207443"",""3"",""40000"""</t>
  </si>
  <si>
    <t>="""Ceres NTFB Live"",""NTFB Live"",""5767"",""1"",""Invt. Pick"",""2"",""ITPN-207429"",""3"",""51000"""</t>
  </si>
  <si>
    <t>="""Ceres NTFB Live"",""NTFB Live"",""5767"",""1"",""Invt. Pick"",""2"",""ITPN-207443"",""3"",""60000"""</t>
  </si>
  <si>
    <t>="""Ceres NTFB Live"",""NTFB Live"",""5767"",""1"",""Invt. Pick"",""2"",""ITPN-207500"",""3"",""30000"""</t>
  </si>
  <si>
    <t>="""Ceres NTFB Live"",""NTFB Live"",""5767"",""1"",""Invt. Pick"",""2"",""ITPN-207428"",""3"",""40000"""</t>
  </si>
  <si>
    <t>="""Ceres NTFB Live"",""NTFB Live"",""5767"",""1"",""Invt. Pick"",""2"",""ITPN-207501"",""3"",""41000"""</t>
  </si>
  <si>
    <t>="""Ceres NTFB Live"",""NTFB Live"",""5767"",""1"",""Invt. Pick"",""2"",""ITPN-207428"",""3"",""20000"""</t>
  </si>
  <si>
    <t>="002218P"</t>
  </si>
  <si>
    <t>=SUM(I25:I36)</t>
  </si>
  <si>
    <t>=ROUND(SUM(O25:O36),0)</t>
  </si>
  <si>
    <t>=ROUND(COUNT(O25:O36),0)</t>
  </si>
  <si>
    <t>="""Ceres NTFB Live"",""NTFB Live"",""5766"",""1"",""Invt. Pick"",""2"",""ITPN-207448"""</t>
  </si>
  <si>
    <t>="""Ceres NTFB Live"",""NTFB Live"",""5767"",""1"",""Invt. Pick"",""2"",""ITPN-207448"",""3"",""81000"""</t>
  </si>
  <si>
    <t>="""Ceres NTFB Live"",""NTFB Live"",""5767"",""1"",""Invt. Pick"",""2"",""ITPN-207448"",""3"",""61000"""</t>
  </si>
  <si>
    <t>="""Ceres NTFB Live"",""NTFB Live"",""5767"",""1"",""Invt. Pick"",""2"",""ITPN-207448"",""3"",""31000"""</t>
  </si>
  <si>
    <t>="""Ceres NTFB Live"",""NTFB Live"",""5767"",""1"",""Invt. Pick"",""2"",""ITPN-207448"",""3"",""41000"""</t>
  </si>
  <si>
    <t>="""Ceres NTFB Live"",""NTFB Live"",""5767"",""1"",""Invt. Pick"",""2"",""ITPN-207448"",""3"",""141000"""</t>
  </si>
  <si>
    <t>="""Ceres NTFB Live"",""NTFB Live"",""5767"",""1"",""Invt. Pick"",""2"",""ITPN-207448"",""3"",""161000"""</t>
  </si>
  <si>
    <t>="""Ceres NTFB Live"",""NTFB Live"",""5767"",""1"",""Invt. Pick"",""2"",""ITPN-207448"",""3"",""40000"""</t>
  </si>
  <si>
    <t>="""Ceres NTFB Live"",""NTFB Live"",""5767"",""1"",""Invt. Pick"",""2"",""ITPN-207448"",""3"",""51000"""</t>
  </si>
  <si>
    <t>="""Ceres NTFB Live"",""NTFB Live"",""5767"",""1"",""Invt. Pick"",""2"",""ITPN-207448"",""3"",""111000"""</t>
  </si>
  <si>
    <t>="""Ceres NTFB Live"",""NTFB Live"",""5767"",""1"",""Invt. Pick"",""2"",""ITPN-207448"",""3"",""91000"""</t>
  </si>
  <si>
    <t>="A108183"</t>
  </si>
  <si>
    <t>="""Ceres NTFB Live"",""NTFB Live"",""5766"",""1"",""Invt. Pick"",""2"",""ITPN-207427"""</t>
  </si>
  <si>
    <t>="""Ceres NTFB Live"",""NTFB Live"",""5766"",""1"",""Invt. Pick"",""2"",""ITPN-207436"""</t>
  </si>
  <si>
    <t>="A108003"</t>
  </si>
  <si>
    <t>="""Ceres NTFB Live"",""NTFB Live"",""5766"",""1"",""Invt. Pick"",""2"",""ITPN-207450"""</t>
  </si>
  <si>
    <t>="A108192"</t>
  </si>
  <si>
    <t>="""Ceres NTFB Live"",""NTFB Live"",""5766"",""1"",""Invt. Pick"",""2"",""ITPN-207495"""</t>
  </si>
  <si>
    <t>="A108400"</t>
  </si>
  <si>
    <t>="""Ceres NTFB Live"",""NTFB Live"",""5766"",""1"",""Invt. Pick"",""2"",""ITPN-207505"""</t>
  </si>
  <si>
    <t>="A108471"</t>
  </si>
  <si>
    <t>="""Ceres NTFB Live"",""NTFB Live"",""5766"",""1"",""Invt. Pick"",""2"",""ITPN-207506"""</t>
  </si>
  <si>
    <t>="""Ceres NTFB Live"",""NTFB Live"",""5767"",""1"",""Invt. Pick"",""2"",""ITPN-207506"",""3"",""100000"""</t>
  </si>
  <si>
    <t>="""Ceres NTFB Live"",""NTFB Live"",""5767"",""1"",""Invt. Pick"",""2"",""ITPN-207436"",""3"",""40000"""</t>
  </si>
  <si>
    <t>="""Ceres NTFB Live"",""NTFB Live"",""5767"",""1"",""Invt. Pick"",""2"",""ITPN-207506"",""3"",""60000"""</t>
  </si>
  <si>
    <t>="""Ceres NTFB Live"",""NTFB Live"",""5767"",""1"",""Invt. Pick"",""2"",""ITPN-207506"",""3"",""120000"""</t>
  </si>
  <si>
    <t>="""Ceres NTFB Live"",""NTFB Live"",""5767"",""1"",""Invt. Pick"",""2"",""ITPN-207436"",""3"",""20000"""</t>
  </si>
  <si>
    <t>="""Ceres NTFB Live"",""NTFB Live"",""5767"",""1"",""Invt. Pick"",""2"",""ITPN-207426"",""3"",""20000"""</t>
  </si>
  <si>
    <t>="""Ceres NTFB Live"",""NTFB Live"",""5767"",""1"",""Invt. Pick"",""2"",""ITPN-207450"",""3"",""20000"""</t>
  </si>
  <si>
    <t>="""Ceres NTFB Live"",""NTFB Live"",""5767"",""1"",""Invt. Pick"",""2"",""ITPN-207426"",""3"",""40000"""</t>
  </si>
  <si>
    <t>="""Ceres NTFB Live"",""NTFB Live"",""5767"",""1"",""Invt. Pick"",""2"",""ITPN-207506"",""3"",""51000"""</t>
  </si>
  <si>
    <t>="""Ceres NTFB Live"",""NTFB Live"",""5767"",""1"",""Invt. Pick"",""2"",""ITPN-207495"",""3"",""20000"""</t>
  </si>
  <si>
    <t>=SUM(I25:I29)</t>
  </si>
  <si>
    <t>=ROUND(SUM(O25:O29),0)</t>
  </si>
  <si>
    <t>=ROUND(COUNT(O25:O29),0)</t>
  </si>
  <si>
    <t>="""Ceres NTFB Live"",""NTFB Live"",""5766"",""1"",""Invt. Pick"",""2"",""ITPN-207508"""</t>
  </si>
  <si>
    <t>="""Ceres NTFB Live"",""NTFB Live"",""5767"",""1"",""Invt. Pick"",""2"",""ITPN-207508"",""3"",""101000"""</t>
  </si>
  <si>
    <t>="""Ceres NTFB Live"",""NTFB Live"",""5767"",""1"",""Invt. Pick"",""2"",""ITPN-207508"",""3"",""190000"""</t>
  </si>
  <si>
    <t>="""Ceres NTFB Live"",""NTFB Live"",""5767"",""1"",""Invt. Pick"",""2"",""ITPN-207508"",""3"",""180000"""</t>
  </si>
  <si>
    <t>="""Ceres NTFB Live"",""NTFB Live"",""5766"",""1"",""Invt. Pick"",""2"",""ITPN-207466"""</t>
  </si>
  <si>
    <t>="""Ceres NTFB Live"",""NTFB Live"",""5767"",""1"",""Invt. Pick"",""2"",""ITPN-207465"",""3"",""20000"""</t>
  </si>
  <si>
    <t>="""Ceres NTFB Live"",""NTFB Live"",""5767"",""1"",""Invt. Pick"",""2"",""ITPN-207465"",""3"",""60000"""</t>
  </si>
  <si>
    <t>="""Ceres NTFB Live"",""NTFB Live"",""5767"",""1"",""Invt. Pick"",""2"",""ITPN-207466"",""3"",""31000"""</t>
  </si>
  <si>
    <t>="""Ceres NTFB Live"",""NTFB Live"",""5767"",""1"",""Invt. Pick"",""2"",""ITPN-207466"",""3"",""120000"""</t>
  </si>
  <si>
    <t>="""Ceres NTFB Live"",""NTFB Live"",""5767"",""1"",""Invt. Pick"",""2"",""ITPN-207466"",""3"",""40000"""</t>
  </si>
  <si>
    <t>="""Ceres NTFB Live"",""NTFB Live"",""5767"",""1"",""Invt. Pick"",""2"",""ITPN-207466"",""3"",""100000"""</t>
  </si>
  <si>
    <t>="""Ceres NTFB Live"",""NTFB Live"",""5766"",""1"",""Invt. Pick"",""2"",""ITPN-207482"""</t>
  </si>
  <si>
    <t>="""Ceres NTFB Live"",""NTFB Live"",""5766"",""1"",""Invt. Pick"",""2"",""ITPN-207483"""</t>
  </si>
  <si>
    <t>="""Ceres NTFB Live"",""NTFB Live"",""5766"",""1"",""Invt. Pick"",""2"",""ITPN-207484"""</t>
  </si>
  <si>
    <t>="A108358"</t>
  </si>
  <si>
    <t>="""Ceres NTFB Live"",""NTFB Live"",""5766"",""1"",""Invt. Pick"",""2"",""ITPN-207485"""</t>
  </si>
  <si>
    <t>="""Ceres NTFB Live"",""NTFB Live"",""5767"",""1"",""Invt. Pick"",""2"",""ITPN-207482"",""3"",""31000"""</t>
  </si>
  <si>
    <t>="""Ceres NTFB Live"",""NTFB Live"",""5767"",""1"",""Invt. Pick"",""2"",""ITPN-207482"",""3"",""41000"""</t>
  </si>
  <si>
    <t>="""Ceres NTFB Live"",""NTFB Live"",""5767"",""1"",""Invt. Pick"",""2"",""ITPN-207484"",""3"",""20000"""</t>
  </si>
  <si>
    <t>="""Ceres NTFB Live"",""NTFB Live"",""5767"",""1"",""Invt. Pick"",""2"",""ITPN-207483"",""3"",""31000"""</t>
  </si>
  <si>
    <t>="003511RY"</t>
  </si>
  <si>
    <t>=SUM(I25:I30)</t>
  </si>
  <si>
    <t>=ROUND(SUM(O25:O30),0)</t>
  </si>
  <si>
    <t>=ROUND(COUNT(O25:O30),0)</t>
  </si>
  <si>
    <t>="""Ceres NTFB Live"",""NTFB Live"",""5766"",""1"",""Invt. Pick"",""2"",""ITPN-207493"""</t>
  </si>
  <si>
    <t>="""Ceres NTFB Live"",""NTFB Live"",""5767"",""1"",""Invt. Pick"",""2"",""ITPN-207493"",""3"",""61000"""</t>
  </si>
  <si>
    <t>="""Ceres NTFB Live"",""NTFB Live"",""5767"",""1"",""Invt. Pick"",""2"",""ITPN-207493"",""3"",""60000"""</t>
  </si>
  <si>
    <t>="""Ceres NTFB Live"",""NTFB Live"",""5767"",""1"",""Invt. Pick"",""2"",""ITPN-207492"",""3"",""20000"""</t>
  </si>
  <si>
    <t>="""Ceres NTFB Live"",""NTFB Live"",""5767"",""1"",""Invt. Pick"",""2"",""ITPN-207492"",""3"",""40000"""</t>
  </si>
  <si>
    <t>="""Ceres NTFB Live"",""NTFB Live"",""5766"",""1"",""Invt. Pick"",""2"",""ITPN-207434"""</t>
  </si>
  <si>
    <t>="""Ceres NTFB Live"",""NTFB Live"",""5766"",""1"",""Invt. Pick"",""2"",""ITPN-207435"""</t>
  </si>
  <si>
    <t>="""Ceres NTFB Live"",""NTFB Live"",""5766"",""1"",""Invt. Pick"",""2"",""ITPN-207437"""</t>
  </si>
  <si>
    <t>="""Ceres NTFB Live"",""NTFB Live"",""5766"",""1"",""Invt. Pick"",""2"",""ITPN-207439"""</t>
  </si>
  <si>
    <t>="""Ceres NTFB Live"",""NTFB Live"",""5766"",""1"",""Invt. Pick"",""2"",""ITPN-207440"""</t>
  </si>
  <si>
    <t>="""Ceres NTFB Live"",""NTFB Live"",""5766"",""1"",""Invt. Pick"",""2"",""ITPN-207454"""</t>
  </si>
  <si>
    <t>=B33</t>
  </si>
  <si>
    <t>="""Ceres NTFB Live"",""NTFB Live"",""5766"",""1"",""Invt. Pick"",""2"",""ITPN-207463"""</t>
  </si>
  <si>
    <t>=B34</t>
  </si>
  <si>
    <t>="""Ceres NTFB Live"",""NTFB Live"",""5766"",""1"",""Invt. Pick"",""2"",""ITPN-207464"""</t>
  </si>
  <si>
    <t>=B35</t>
  </si>
  <si>
    <t>="""Ceres NTFB Live"",""NTFB Live"",""5766"",""1"",""Invt. Pick"",""2"",""ITPN-207469"""</t>
  </si>
  <si>
    <t>="""Ceres NTFB Live"",""NTFB Live"",""5766"",""1"",""Invt. Pick"",""2"",""ITPN-207503"""</t>
  </si>
  <si>
    <t>="""Ceres NTFB Live"",""NTFB Live"",""5766"",""1"",""Invt. Pick"",""2"",""ITPN-207504"""</t>
  </si>
  <si>
    <t>="A108008"</t>
  </si>
  <si>
    <t>="A108230"</t>
  </si>
  <si>
    <t>="A108259"</t>
  </si>
  <si>
    <t>="A108336"</t>
  </si>
  <si>
    <t>="A108418"</t>
  </si>
  <si>
    <t>="A108435"</t>
  </si>
  <si>
    <t>=NF($C21,"Source No.")</t>
  </si>
  <si>
    <t>=NF($C22,"Source No.")</t>
  </si>
  <si>
    <t>=NF($C23,"Source No.")</t>
  </si>
  <si>
    <t>=NF($C21,"No.")</t>
  </si>
  <si>
    <t>=NF($C22,"No.")</t>
  </si>
  <si>
    <t>=NF($C23,"No.")</t>
  </si>
  <si>
    <t>="""Ceres NTFB Live"",""NTFB Live"",""5766"",""1"",""Invt. Pick"",""2"",""ITPN-207474"""</t>
  </si>
  <si>
    <t>="""Ceres NTFB Live"",""NTFB Live"",""5767"",""1"",""Invt. Pick"",""2"",""ITPN-207474"",""3"",""31000"""</t>
  </si>
  <si>
    <t>="""Ceres NTFB Live"",""NTFB Live"",""5767"",""1"",""Invt. Pick"",""2"",""ITPN-207474"",""3"",""60000"""</t>
  </si>
  <si>
    <t>="""Ceres NTFB Live"",""NTFB Live"",""5767"",""1"",""Invt. Pick"",""2"",""ITPN-207474"",""3"",""40000"""</t>
  </si>
  <si>
    <t>="""Ceres NTFB Live"",""NTFB Live"",""5766"",""1"",""Invt. Pick"",""2"",""ITPN-207471"""</t>
  </si>
  <si>
    <t>="""Ceres NTFB Live"",""NTFB Live"",""5767"",""1"",""Invt. Pick"",""2"",""ITPN-207470"",""3"",""20000"""</t>
  </si>
  <si>
    <t>="""Ceres NTFB Live"",""NTFB Live"",""5767"",""1"",""Invt. Pick"",""2"",""ITPN-207470"",""3"",""90000"""</t>
  </si>
  <si>
    <t>="""Ceres NTFB Live"",""NTFB Live"",""5767"",""1"",""Invt. Pick"",""2"",""ITPN-207470"",""3"",""40000"""</t>
  </si>
  <si>
    <t>="""Ceres NTFB Live"",""NTFB Live"",""5767"",""1"",""Invt. Pick"",""2"",""ITPN-207470"",""3"",""60000"""</t>
  </si>
  <si>
    <t>="""Ceres NTFB Live"",""NTFB Live"",""5767"",""1"",""Invt. Pick"",""2"",""ITPN-207471"",""3"",""110000"""</t>
  </si>
  <si>
    <t>="""Ceres NTFB Live"",""NTFB Live"",""5767"",""1"",""Invt. Pick"",""2"",""ITPN-207471"",""3"",""71000"""</t>
  </si>
  <si>
    <t>="""Ceres NTFB Live"",""NTFB Live"",""5767"",""1"",""Invt. Pick"",""2"",""ITPN-207471"",""3"",""130000"""</t>
  </si>
  <si>
    <t>="026030P"</t>
  </si>
  <si>
    <t>=SUM(I24:I27)</t>
  </si>
  <si>
    <t>=ROUND(SUM(O24:O27),0)</t>
  </si>
  <si>
    <t>=ROUND(COUNT(O24:O27),0)</t>
  </si>
  <si>
    <t>="""Ceres NTFB Live"",""NTFB Live"",""5767"",""1"",""Invt. Pick"",""2"",""ITPN-207453"",""3"",""60000"""</t>
  </si>
  <si>
    <t>="""Ceres NTFB Live"",""NTFB Live"",""5767"",""1"",""Invt. Pick"",""2"",""ITPN-207453"",""3"",""40000"""</t>
  </si>
  <si>
    <t>=SUM(I24:I33)</t>
  </si>
  <si>
    <t>=ROUND(SUM(O24:O33),0)</t>
  </si>
  <si>
    <t>=ROUND(COUNT(O24:O33),0)</t>
  </si>
  <si>
    <t>="""Ceres NTFB Live"",""NTFB Live"",""5767"",""1"",""Invt. Pick"",""2"",""ITPN-207502"",""3"",""90000"""</t>
  </si>
  <si>
    <t>="""Ceres NTFB Live"",""NTFB Live"",""5767"",""1"",""Invt. Pick"",""2"",""ITPN-207502"",""3"",""110000"""</t>
  </si>
  <si>
    <t>="""Ceres NTFB Live"",""NTFB Live"",""5767"",""1"",""Invt. Pick"",""2"",""ITPN-207502"",""3"",""60000"""</t>
  </si>
  <si>
    <t>="""Ceres NTFB Live"",""NTFB Live"",""5767"",""1"",""Invt. Pick"",""2"",""ITPN-207502"",""3"",""30000"""</t>
  </si>
  <si>
    <t>="""Ceres NTFB Live"",""NTFB Live"",""5767"",""1"",""Invt. Pick"",""2"",""ITPN-207502"",""3"",""40000"""</t>
  </si>
  <si>
    <t>="""Ceres NTFB Live"",""NTFB Live"",""5767"",""1"",""Invt. Pick"",""2"",""ITPN-207502"",""3"",""50000"""</t>
  </si>
  <si>
    <t>="""Ceres NTFB Live"",""NTFB Live"",""5767"",""1"",""Invt. Pick"",""2"",""ITPN-207502"",""3"",""80000"""</t>
  </si>
  <si>
    <t>="""Ceres NTFB Live"",""NTFB Live"",""5767"",""1"",""Invt. Pick"",""2"",""ITPN-207502"",""3"",""20000"""</t>
  </si>
  <si>
    <t>=SUM(I26:I29)</t>
  </si>
  <si>
    <t>=ROUND(SUM(O26:O29),0)</t>
  </si>
  <si>
    <t>=ROUND(COUNT(O26:O29),0)</t>
  </si>
  <si>
    <t>="""Ceres NTFB Live"",""NTFB Live"",""5766"",""1"",""Invt. Pick"",""2"",""ITPN-207489"""</t>
  </si>
  <si>
    <t>="""Ceres NTFB Live"",""NTFB Live"",""5766"",""1"",""Invt. Pick"",""2"",""ITPN-207491"""</t>
  </si>
  <si>
    <t>="""Ceres NTFB Live"",""NTFB Live"",""5767"",""1"",""Invt. Pick"",""2"",""ITPN-207489"",""3"",""31000"""</t>
  </si>
  <si>
    <t>="""Ceres NTFB Live"",""NTFB Live"",""5767"",""1"",""Invt. Pick"",""2"",""ITPN-207489"",""3"",""60000"""</t>
  </si>
  <si>
    <t>="""Ceres NTFB Live"",""NTFB Live"",""5766"",""1"",""Invt. Pick"",""2"",""ITPN-207442"""</t>
  </si>
  <si>
    <t>="""Ceres NTFB Live"",""NTFB Live"",""5766"",""1"",""Invt. Pick"",""2"",""ITPN-207462"""</t>
  </si>
  <si>
    <t>="""Ceres NTFB Live"",""NTFB Live"",""5767"",""1"",""Invt. Pick"",""2"",""ITPN-207441"",""3"",""20000"""</t>
  </si>
  <si>
    <t>="""Ceres NTFB Live"",""NTFB Live"",""5767"",""1"",""Invt. Pick"",""2"",""ITPN-207441"",""3"",""40000"""</t>
  </si>
  <si>
    <t>="A108248"</t>
  </si>
  <si>
    <t>="""Ceres NTFB Live"",""NTFB Live"",""5766"",""1"",""Invt. Pick"",""2"",""ITPN-207487"""</t>
  </si>
  <si>
    <t>="""Ceres NTFB Live"",""NTFB Live"",""5767"",""1"",""Invt. Pick"",""2"",""ITPN-207487"",""3"",""31000"""</t>
  </si>
  <si>
    <t>="""Ceres NTFB Live"",""NTFB Live"",""5767"",""1"",""Invt. Pick"",""2"",""ITPN-207487"",""3"",""40000"""</t>
  </si>
  <si>
    <t>="""Ceres NTFB Live"",""NTFB Live"",""5766"",""1"",""Invt. Pick"",""2"",""ITPN-207510"""</t>
  </si>
  <si>
    <t>="""Ceres NTFB Live"",""NTFB Live"",""5767"",""1"",""Invt. Pick"",""2"",""ITPN-207498"",""3"",""20000"""</t>
  </si>
  <si>
    <t>="""Ceres NTFB Live"",""NTFB Live"",""5767"",""1"",""Invt. Pick"",""2"",""ITPN-207510"",""3"",""30000"""</t>
  </si>
  <si>
    <t>="A108487"</t>
  </si>
  <si>
    <t>="""Ceres NTFB Live"",""NTFB Live"",""5766"",""1"",""Invt. Pick"",""2"",""ITPN-207431"""</t>
  </si>
  <si>
    <t>="A107899"</t>
  </si>
  <si>
    <t>="""Ceres NTFB Live"",""NTFB Live"",""5766"",""1"",""Invt. Pick"",""2"",""ITPN-207451"""</t>
  </si>
  <si>
    <t>="A108201"</t>
  </si>
  <si>
    <t>="""Ceres NTFB Live"",""NTFB Live"",""5766"",""1"",""Invt. Pick"",""2"",""ITPN-207467"""</t>
  </si>
  <si>
    <t>="A108323"</t>
  </si>
  <si>
    <t>="""Ceres NTFB Live"",""NTFB Live"",""5766"",""1"",""Invt. Pick"",""2"",""ITPN-207468"""</t>
  </si>
  <si>
    <t>="""Ceres NTFB Live"",""NTFB Live"",""5767"",""1"",""Invt. Pick"",""2"",""ITPN-207468"",""3"",""31000"""</t>
  </si>
  <si>
    <t>="""Ceres NTFB Live"",""NTFB Live"",""5767"",""1"",""Invt. Pick"",""2"",""ITPN-207431"",""3"",""20000"""</t>
  </si>
  <si>
    <t>="""Ceres NTFB Live"",""NTFB Live"",""5767"",""1"",""Invt. Pick"",""2"",""ITPN-207431"",""3"",""60000"""</t>
  </si>
  <si>
    <t>="""Ceres NTFB Live"",""NTFB Live"",""5767"",""1"",""Invt. Pick"",""2"",""ITPN-207430"",""3"",""20000"""</t>
  </si>
  <si>
    <t>="""Ceres NTFB Live"",""NTFB Live"",""5767"",""1"",""Invt. Pick"",""2"",""ITPN-207431"",""3"",""40000"""</t>
  </si>
  <si>
    <t>="""Ceres NTFB Live"",""NTFB Live"",""5767"",""1"",""Invt. Pick"",""2"",""ITPN-207451"",""3"",""30000"""</t>
  </si>
  <si>
    <t>="""Ceres NTFB Live"",""NTFB Live"",""5767"",""1"",""Invt. Pick"",""2"",""ITPN-207451"",""3"",""10000"""</t>
  </si>
  <si>
    <t>="""Ceres NTFB Live"",""NTFB Live"",""5767"",""1"",""Invt. Pick"",""2"",""ITPN-207467"",""3"",""60000"""</t>
  </si>
  <si>
    <t>="""Ceres NTFB Live"",""NTFB Live"",""5767"",""1"",""Invt. Pick"",""2"",""ITPN-207467"",""3"",""20000"""</t>
  </si>
  <si>
    <t>="""Ceres NTFB Live"",""NTFB Live"",""5766"",""1"",""Invt. Pick"",""2"",""ITPN-207499"""</t>
  </si>
  <si>
    <t>="A108406"</t>
  </si>
  <si>
    <t>=SUM(I25:I31)</t>
  </si>
  <si>
    <t>=ROUND(SUM(O25:O31),0)</t>
  </si>
  <si>
    <t>=ROUND(COUNT(O25:O31),0)</t>
  </si>
  <si>
    <t>="""Ceres NTFB Live"",""NTFB Live"",""5766"",""1"",""Invt. Pick"",""2"",""ITPN-207446"""</t>
  </si>
  <si>
    <t>="""Ceres NTFB Live"",""NTFB Live"",""5767"",""1"",""Invt. Pick"",""2"",""ITPN-207444"",""3"",""20000"""</t>
  </si>
  <si>
    <t>="""Ceres NTFB Live"",""NTFB Live"",""5767"",""1"",""Invt. Pick"",""2"",""ITPN-207446"",""3"",""80000"""</t>
  </si>
  <si>
    <t>="""Ceres NTFB Live"",""NTFB Live"",""5767"",""1"",""Invt. Pick"",""2"",""ITPN-207446"",""3"",""60000"""</t>
  </si>
  <si>
    <t>="""Ceres NTFB Live"",""NTFB Live"",""5767"",""1"",""Invt. Pick"",""2"",""ITPN-207446"",""3"",""51000"""</t>
  </si>
  <si>
    <t>="""Ceres NTFB Live"",""NTFB Live"",""5767"",""1"",""Invt. Pick"",""2"",""ITPN-207446"",""3"",""100000"""</t>
  </si>
  <si>
    <t>="026637P"</t>
  </si>
  <si>
    <t>=SUM(I32:I50)</t>
  </si>
  <si>
    <t>=ROUND(SUM(O32:O50),0)</t>
  </si>
  <si>
    <t>=ROUND(COUNT(O32:O50),0)</t>
  </si>
  <si>
    <t>="""Ceres NTFB Live"",""NTFB Live"",""5766"",""1"",""Invt. Pick"",""2"",""ITPN-207418"""</t>
  </si>
  <si>
    <t>="""Ceres NTFB Live"",""NTFB Live"",""5766"",""1"",""Invt. Pick"",""2"",""ITPN-207419"""</t>
  </si>
  <si>
    <t>="""Ceres NTFB Live"",""NTFB Live"",""5766"",""1"",""Invt. Pick"",""2"",""ITPN-207420"""</t>
  </si>
  <si>
    <t>="A107502"</t>
  </si>
  <si>
    <t>="""Ceres NTFB Live"",""NTFB Live"",""5766"",""1"",""Invt. Pick"",""2"",""ITPN-207421"""</t>
  </si>
  <si>
    <t>="""Ceres NTFB Live"",""NTFB Live"",""5766"",""1"",""Invt. Pick"",""2"",""ITPN-207422"""</t>
  </si>
  <si>
    <t>="A107580"</t>
  </si>
  <si>
    <t>="""Ceres NTFB Live"",""NTFB Live"",""5766"",""1"",""Invt. Pick"",""2"",""ITPN-207423"""</t>
  </si>
  <si>
    <t>="""Ceres NTFB Live"",""NTFB Live"",""5766"",""1"",""Invt. Pick"",""2"",""ITPN-207424"""</t>
  </si>
  <si>
    <t>="A107796"</t>
  </si>
  <si>
    <t>="""Ceres NTFB Live"",""NTFB Live"",""5766"",""1"",""Invt. Pick"",""2"",""ITPN-207425"""</t>
  </si>
  <si>
    <t>="""Ceres NTFB Live"",""NTFB Live"",""5767"",""1"",""Invt. Pick"",""2"",""ITPN-207423"",""3"",""31000"""</t>
  </si>
  <si>
    <t>="""Ceres NTFB Live"",""NTFB Live"",""5767"",""1"",""Invt. Pick"",""2"",""ITPN-207417"",""3"",""131000"""</t>
  </si>
  <si>
    <t>="""Ceres NTFB Live"",""NTFB Live"",""5767"",""1"",""Invt. Pick"",""2"",""ITPN-207417"",""3"",""151000"""</t>
  </si>
  <si>
    <t>="""Ceres NTFB Live"",""NTFB Live"",""5767"",""1"",""Invt. Pick"",""2"",""ITPN-207417"",""3"",""30000"""</t>
  </si>
  <si>
    <t>="""Ceres NTFB Live"",""NTFB Live"",""5767"",""1"",""Invt. Pick"",""2"",""ITPN-207425"",""3"",""31000"""</t>
  </si>
  <si>
    <t>="""Ceres NTFB Live"",""NTFB Live"",""5767"",""1"",""Invt. Pick"",""2"",""ITPN-207417"",""3"",""40000"""</t>
  </si>
  <si>
    <t>="""Ceres NTFB Live"",""NTFB Live"",""5767"",""1"",""Invt. Pick"",""2"",""ITPN-207417"",""3"",""60000"""</t>
  </si>
  <si>
    <t>="""Ceres NTFB Live"",""NTFB Live"",""5767"",""1"",""Invt. Pick"",""2"",""ITPN-207417"",""3"",""10000"""</t>
  </si>
  <si>
    <t>="""Ceres NTFB Live"",""NTFB Live"",""5767"",""1"",""Invt. Pick"",""2"",""ITPN-207419"",""3"",""90000"""</t>
  </si>
  <si>
    <t>="""Ceres NTFB Live"",""NTFB Live"",""5767"",""1"",""Invt. Pick"",""2"",""ITPN-207417"",""3"",""70000"""</t>
  </si>
  <si>
    <t>="""Ceres NTFB Live"",""NTFB Live"",""5767"",""1"",""Invt. Pick"",""2"",""ITPN-207419"",""3"",""91000"""</t>
  </si>
  <si>
    <t>="""Ceres NTFB Live"",""NTFB Live"",""5767"",""1"",""Invt. Pick"",""2"",""ITPN-207419"",""3"",""81000"""</t>
  </si>
  <si>
    <t>="""Ceres NTFB Live"",""NTFB Live"",""5767"",""1"",""Invt. Pick"",""2"",""ITPN-207418"",""3"",""81000"""</t>
  </si>
  <si>
    <t>="""Ceres NTFB Live"",""NTFB Live"",""5767"",""1"",""Invt. Pick"",""2"",""ITPN-207419"",""3"",""191000"""</t>
  </si>
  <si>
    <t>="""Ceres NTFB Live"",""NTFB Live"",""5767"",""1"",""Invt. Pick"",""2"",""ITPN-207419"",""3"",""71000"""</t>
  </si>
  <si>
    <t>="""Ceres NTFB Live"",""NTFB Live"",""5767"",""1"",""Invt. Pick"",""2"",""ITPN-207419"",""3"",""171000"""</t>
  </si>
  <si>
    <t>="""Ceres NTFB Live"",""NTFB Live"",""5767"",""1"",""Invt. Pick"",""2"",""ITPN-207419"",""3"",""111000"""</t>
  </si>
  <si>
    <t>=+B50</t>
  </si>
  <si>
    <t>="""Ceres NTFB Live"",""NTFB Live"",""5767"",""1"",""Invt. Pick"",""2"",""ITPN-207432"",""3"",""90000"""</t>
  </si>
  <si>
    <t>="""Ceres NTFB Live"",""NTFB Live"",""5767"",""1"",""Invt. Pick"",""2"",""ITPN-207432"",""3"",""30000"""</t>
  </si>
  <si>
    <t>="""Ceres NTFB Live"",""NTFB Live"",""5767"",""1"",""Invt. Pick"",""2"",""ITPN-207432"",""3"",""70000"""</t>
  </si>
  <si>
    <t>="""Ceres NTFB Live"",""NTFB Live"",""5767"",""1"",""Invt. Pick"",""2"",""ITPN-207432"",""3"",""60000"""</t>
  </si>
  <si>
    <t>="""Ceres NTFB Live"",""NTFB Live"",""5767"",""1"",""Invt. Pick"",""2"",""ITPN-207432"",""3"",""40000"""</t>
  </si>
  <si>
    <t>="""Ceres NTFB Live"",""NTFB Live"",""5767"",""1"",""Invt. Pick"",""2"",""ITPN-207448"",""3"",""121000"""</t>
  </si>
  <si>
    <t>="""Ceres NTFB Live"",""NTFB Live"",""5767"",""1"",""Invt. Pick"",""2"",""ITPN-207505"",""3"",""40000"""</t>
  </si>
  <si>
    <t>="""Ceres NTFB Live"",""NTFB Live"",""5767"",""1"",""Invt. Pick"",""2"",""ITPN-207427"",""3"",""51000"""</t>
  </si>
  <si>
    <t>="""Ceres NTFB Live"",""NTFB Live"",""5767"",""1"",""Invt. Pick"",""2"",""ITPN-207505"",""3"",""20000"""</t>
  </si>
  <si>
    <t>=SUM(I25:I33)</t>
  </si>
  <si>
    <t>=ROUND(SUM(O25:O33),0)</t>
  </si>
  <si>
    <t>=ROUND(COUNT(O25:O33),0)</t>
  </si>
  <si>
    <t>="""Ceres NTFB Live"",""NTFB Live"",""5767"",""1"",""Invt. Pick"",""2"",""ITPN-207507"",""3"",""150000"""</t>
  </si>
  <si>
    <t>="""Ceres NTFB Live"",""NTFB Live"",""5767"",""1"",""Invt. Pick"",""2"",""ITPN-207507"",""3"",""60000"""</t>
  </si>
  <si>
    <t>="""Ceres NTFB Live"",""NTFB Live"",""5767"",""1"",""Invt. Pick"",""2"",""ITPN-207507"",""3"",""90000"""</t>
  </si>
  <si>
    <t>="""Ceres NTFB Live"",""NTFB Live"",""5767"",""1"",""Invt. Pick"",""2"",""ITPN-207507"",""3"",""130000"""</t>
  </si>
  <si>
    <t>="""Ceres NTFB Live"",""NTFB Live"",""5767"",""1"",""Invt. Pick"",""2"",""ITPN-207507"",""3"",""110000"""</t>
  </si>
  <si>
    <t>="""Ceres NTFB Live"",""NTFB Live"",""5767"",""1"",""Invt. Pick"",""2"",""ITPN-207507"",""3"",""40000"""</t>
  </si>
  <si>
    <t>="""Ceres NTFB Live"",""NTFB Live"",""5767"",""1"",""Invt. Pick"",""2"",""ITPN-207507"",""3"",""20000"""</t>
  </si>
  <si>
    <t>="""Ceres NTFB Live"",""NTFB Live"",""5767"",""1"",""Invt. Pick"",""2"",""ITPN-207481"",""3"",""40000"""</t>
  </si>
  <si>
    <t>="""Ceres NTFB Live"",""NTFB Live"",""5767"",""1"",""Invt. Pick"",""2"",""ITPN-207488"",""3"",""40000"""</t>
  </si>
  <si>
    <t>="""Ceres NTFB Live"",""NTFB Live"",""5767"",""1"",""Invt. Pick"",""2"",""ITPN-207462"",""3"",""20000"""</t>
  </si>
  <si>
    <t>="""Ceres NTFB Live"",""NTFB Live"",""5767"",""1"",""Invt. Pick"",""2"",""ITPN-207462"",""3"",""50000"""</t>
  </si>
  <si>
    <t>="""Ceres NTFB Live"",""NTFB Live"",""5767"",""1"",""Invt. Pick"",""2"",""ITPN-207462"",""3"",""30000"""</t>
  </si>
  <si>
    <t>="""Ceres NTFB Live"",""NTFB Live"",""5767"",""1"",""Invt. Pick"",""2"",""ITPN-207461"",""3"",""20000"""</t>
  </si>
  <si>
    <t>="""Ceres NTFB Live"",""NTFB Live"",""5767"",""1"",""Invt. Pick"",""2"",""ITPN-207499"",""3"",""20000"""</t>
  </si>
  <si>
    <t>="""Ceres NTFB Live"",""NTFB Live"",""5767"",""1"",""Invt. Pick"",""2"",""ITPN-207461"",""3"",""60000"""</t>
  </si>
  <si>
    <t>="""Ceres NTFB Live"",""NTFB Live"",""5767"",""1"",""Invt. Pick"",""2"",""ITPN-207420"",""3"",""20000"""</t>
  </si>
  <si>
    <t>="""Ceres NTFB Live"",""NTFB Live"",""5767"",""1"",""Invt. Pick"",""2"",""ITPN-207420"",""3"",""30000"""</t>
  </si>
  <si>
    <t>="""Ceres NTFB Live"",""NTFB Live"",""5767"",""1"",""Invt. Pick"",""2"",""ITPN-207422"",""3"",""20000"""</t>
  </si>
  <si>
    <t>="""Ceres NTFB Live"",""NTFB Live"",""5767"",""1"",""Invt. Pick"",""2"",""ITPN-207424"",""3"",""20000"""</t>
  </si>
  <si>
    <t>CHRISTIAN BENEVOLENT OUTREACH</t>
  </si>
  <si>
    <t>COLLIN</t>
  </si>
  <si>
    <t>FBC ALLEN FOOD PANTRY</t>
  </si>
  <si>
    <t>LIFESOURCE MINISTRIES</t>
  </si>
  <si>
    <t>CARROLLTON FRIENDSHIP HOUSE</t>
  </si>
  <si>
    <t>HOLY COVENANT UMC</t>
  </si>
  <si>
    <t>DENTON</t>
  </si>
  <si>
    <t>METROCREST SERVICES</t>
  </si>
  <si>
    <t>RICHARDSON EAST COC</t>
  </si>
  <si>
    <t>SM WRIGHT FOUNDATION</t>
  </si>
  <si>
    <t>NORTH DALLAS SHARED MINISTRIES</t>
  </si>
  <si>
    <t>CATHOLIC CHARITIES OF DALLAS</t>
  </si>
  <si>
    <t>DALLAS LIFE FOUNDATION</t>
  </si>
  <si>
    <t>DIVINE INSPIRATION MISSIONARY</t>
  </si>
  <si>
    <t>DUNCANVILLE OUTREACH MINISTRY</t>
  </si>
  <si>
    <t>ESTATES AT GRAND PRAIRIE INC.</t>
  </si>
  <si>
    <t>ORDERS = 7</t>
  </si>
  <si>
    <t>FAMILY GATEWAY</t>
  </si>
  <si>
    <t>GOLDEN GATE BAPTIST CHURCH</t>
  </si>
  <si>
    <t>HARMONY COMMUNITY DEV. CORP</t>
  </si>
  <si>
    <t>HIGHLAND OAKS CHURCH OF CHRIST</t>
  </si>
  <si>
    <t>SALVATION ARMY OAK CLIFF</t>
  </si>
  <si>
    <t>SOUL FOR CHRIST RESIDENTIAL</t>
  </si>
  <si>
    <t>WHITE ROCK CENTER HOPE/SEDEA</t>
  </si>
  <si>
    <t>HSF</t>
  </si>
  <si>
    <t>COLLIN 3</t>
  </si>
  <si>
    <t>DALLAS 11</t>
  </si>
  <si>
    <t>DALLAS 4</t>
  </si>
  <si>
    <t>"Ceres NTFB Live","NTFB Live","5766","1","Invt. Pick","2","ITPN-207416"</t>
  </si>
  <si>
    <t>A105108</t>
  </si>
  <si>
    <t>ITPN-207416</t>
  </si>
  <si>
    <t>A105108|A105108</t>
  </si>
  <si>
    <t>ITPN-207416|ITPN-207416</t>
  </si>
  <si>
    <t>001042RA</t>
  </si>
  <si>
    <t>"Ceres NTFB Live","NTFB Live","36","1","Order","3","A105108"</t>
  </si>
  <si>
    <t>E-TALL-01</t>
  </si>
  <si>
    <t>P00187245</t>
  </si>
  <si>
    <t>1000001579</t>
  </si>
  <si>
    <t>A105108 
 ITPN-207416</t>
  </si>
  <si>
    <t>WATER - I AM WATER FOUNDATION</t>
  </si>
  <si>
    <t>02-10-01</t>
  </si>
  <si>
    <t>P00187244</t>
  </si>
  <si>
    <t>"Ceres NTFB Live","NTFB Live","5767","1","Invt. Pick","2","ITPN-207416","3","30000"</t>
  </si>
  <si>
    <t>A108341</t>
  </si>
  <si>
    <t>"Ceres NTFB Live","NTFB Live","5767","1","Invt. Pick","2","ITPN-207475","3","20000"</t>
  </si>
  <si>
    <t>35-10-01</t>
  </si>
  <si>
    <t>P00187274</t>
  </si>
  <si>
    <t>A108341 
 ITPN-207475</t>
  </si>
  <si>
    <t>"Ceres NTFB Live","NTFB Live","5766","1","Invt. Pick","2","ITPN-207475"</t>
  </si>
  <si>
    <t>ITPN-207475</t>
  </si>
  <si>
    <t>A108341|A108341</t>
  </si>
  <si>
    <t>ITPN-207475|ITPN-207475</t>
  </si>
  <si>
    <t>"Ceres NTFB Live","NTFB Live","36","1","Order","3","A108341"</t>
  </si>
  <si>
    <t>A108237</t>
  </si>
  <si>
    <t>ITPN-207456</t>
  </si>
  <si>
    <t>ITPN-207457</t>
  </si>
  <si>
    <t>ITPN-207460</t>
  </si>
  <si>
    <t>"Ceres NTFB Live","NTFB Live","5766","1","Invt. Pick","2","ITPN-207456"</t>
  </si>
  <si>
    <t>"Ceres NTFB Live","NTFB Live","36","1","Order","3","A108237"</t>
  </si>
  <si>
    <t>A108237 
 ITPN-207456</t>
  </si>
  <si>
    <t>A108237 
 ITPN-207457</t>
  </si>
  <si>
    <t>"Ceres NTFB Live","NTFB Live","5767","1","Invt. Pick","2","ITPN-207456","3","40000"</t>
  </si>
  <si>
    <t>A108356</t>
  </si>
  <si>
    <t>ITPN-207476</t>
  </si>
  <si>
    <t>ITPN-207478</t>
  </si>
  <si>
    <t>A108356|A108356|A108356</t>
  </si>
  <si>
    <t>ITPN-207476|ITPN-207478|ITPN-207476</t>
  </si>
  <si>
    <t>"Ceres NTFB Live","NTFB Live","5766","1","Invt. Pick","2","ITPN-207476"</t>
  </si>
  <si>
    <t>"Ceres NTFB Live","NTFB Live","36","1","Order","3","A108356"</t>
  </si>
  <si>
    <t>A108356 
 ITPN-207476</t>
  </si>
  <si>
    <t>A108356 
 ITPN-207478</t>
  </si>
  <si>
    <t>"Ceres NTFB Live","NTFB Live","5767","1","Invt. Pick","2","ITPN-207476","3","20000"</t>
  </si>
  <si>
    <t>"Ceres NTFB Live","NTFB Live","5766","1","Invt. Pick","2","ITPN-207501"</t>
  </si>
  <si>
    <t>"Ceres NTFB Live","NTFB Live","36","1","Order","3","A107851"</t>
  </si>
  <si>
    <t>ITPN-207428|ITPN-207429|ITPN-207443|ITPN-207500|ITPN-207501|ITPN-207428</t>
  </si>
  <si>
    <t>A107851|A107851|A108061|A108407|A108407|A107851</t>
  </si>
  <si>
    <t>"Ceres NTFB Live","NTFB Live","5766","1","Invt. Pick","2","ITPN-207428"</t>
  </si>
  <si>
    <t>A107851</t>
  </si>
  <si>
    <t>A108061 
 ITPN-207443</t>
  </si>
  <si>
    <t>A107851 
 ITPN-207429</t>
  </si>
  <si>
    <t>A108407 
 ITPN-207500</t>
  </si>
  <si>
    <t>A107851 
 ITPN-207428</t>
  </si>
  <si>
    <t>A108407 
 ITPN-207501</t>
  </si>
  <si>
    <t>"Ceres NTFB Live","NTFB Live","5767","1","Invt. Pick","2","ITPN-207443","3","20000"</t>
  </si>
  <si>
    <t>A107923</t>
  </si>
  <si>
    <t>ITPN-207432</t>
  </si>
  <si>
    <t>A108183</t>
  </si>
  <si>
    <t>ITPN-207448</t>
  </si>
  <si>
    <t>A107923|A108183|A107923</t>
  </si>
  <si>
    <t>ITPN-207432|ITPN-207448|ITPN-207432</t>
  </si>
  <si>
    <t>"Ceres NTFB Live","NTFB Live","5766","1","Invt. Pick","2","ITPN-207448"</t>
  </si>
  <si>
    <t>"Ceres NTFB Live","NTFB Live","36","1","Order","3","A107743"</t>
  </si>
  <si>
    <t>"Ceres NTFB Live","NTFB Live","5766","1","Invt. Pick","2","ITPN-207432"</t>
  </si>
  <si>
    <t>A108183 
 ITPN-207448</t>
  </si>
  <si>
    <t>"Ceres NTFB Live","NTFB Live","5767","1","Invt. Pick","2","ITPN-207448","3","50000"</t>
  </si>
  <si>
    <t>"Ceres NTFB Live","NTFB Live","5766","1","Invt. Pick","2","ITPN-207426"</t>
  </si>
  <si>
    <t>"Ceres NTFB Live","NTFB Live","36","1","Order","3","A107826"</t>
  </si>
  <si>
    <t>A107826</t>
  </si>
  <si>
    <t>A108471 
 ITPN-207506</t>
  </si>
  <si>
    <t>A108003 
 ITPN-207436</t>
  </si>
  <si>
    <t>A107826 
 ITPN-207426</t>
  </si>
  <si>
    <t>A108192 
 ITPN-207450</t>
  </si>
  <si>
    <t>A108400 
 ITPN-207495</t>
  </si>
  <si>
    <t>"Ceres NTFB Live","NTFB Live","5767","1","Invt. Pick","2","ITPN-207506","3","80000"</t>
  </si>
  <si>
    <t>A108478</t>
  </si>
  <si>
    <t>04-26-01</t>
  </si>
  <si>
    <t>P00194569</t>
  </si>
  <si>
    <t>A108478 
 ITPN-207508</t>
  </si>
  <si>
    <t>06-02-01</t>
  </si>
  <si>
    <t>P00195578</t>
  </si>
  <si>
    <t>1000003716</t>
  </si>
  <si>
    <t>CEREAL, HONEY NUT CHERRIOS</t>
  </si>
  <si>
    <t>33-11-01</t>
  </si>
  <si>
    <t>P00195092</t>
  </si>
  <si>
    <t>1000002518</t>
  </si>
  <si>
    <t>USDA CORN, KERNAL, CANNED</t>
  </si>
  <si>
    <t>33-12-01</t>
  </si>
  <si>
    <t>P00195091</t>
  </si>
  <si>
    <t>ITPN-207507</t>
  </si>
  <si>
    <t>ITPN-207508</t>
  </si>
  <si>
    <t>A108478|A108478|A108478</t>
  </si>
  <si>
    <t>ITPN-207507|ITPN-207508|ITPN-207507</t>
  </si>
  <si>
    <t>- will pick up</t>
  </si>
  <si>
    <t>"Ceres NTFB Live","NTFB Live","5766","1","Invt. Pick","2","ITPN-207508"</t>
  </si>
  <si>
    <t>"Ceres NTFB Live","NTFB Live","36","1","Order","3","A108478"</t>
  </si>
  <si>
    <t>"Ceres NTFB Live","NTFB Live","5766","1","Invt. Pick","2","ITPN-207507"</t>
  </si>
  <si>
    <t>"Ceres NTFB Live","NTFB Live","5767","1","Invt. Pick","2","ITPN-207508","3","170000"</t>
  </si>
  <si>
    <t>A108316</t>
  </si>
  <si>
    <t>ITPN-207465</t>
  </si>
  <si>
    <t>ITPN-207466</t>
  </si>
  <si>
    <t>A108316|A108316|A108316</t>
  </si>
  <si>
    <t>ITPN-207465|ITPN-207466|ITPN-207465</t>
  </si>
  <si>
    <t>- Please deliver to Metrocrest</t>
  </si>
  <si>
    <t>"Ceres NTFB Live","NTFB Live","5766","1","Invt. Pick","2","ITPN-207465"</t>
  </si>
  <si>
    <t>"Ceres NTFB Live","NTFB Live","36","1","Order","3","A108316"</t>
  </si>
  <si>
    <t>A108316 
 ITPN-207465</t>
  </si>
  <si>
    <t>A108316 
 ITPN-207466</t>
  </si>
  <si>
    <t>"Ceres NTFB Live","NTFB Live","5767","1","Invt. Pick","2","ITPN-207465","3","80000"</t>
  </si>
  <si>
    <t>A108357</t>
  </si>
  <si>
    <t>"Ceres NTFB Live","NTFB Live","5766","1","Invt. Pick","2","ITPN-207482"</t>
  </si>
  <si>
    <t>"Ceres NTFB Live","NTFB Live","36","1","Order","3","A108357"</t>
  </si>
  <si>
    <t>A108358 
 ITPN-207485</t>
  </si>
  <si>
    <t>A108357 
 ITPN-207482</t>
  </si>
  <si>
    <t>A108358 
 ITPN-207484</t>
  </si>
  <si>
    <t>A108357 
 ITPN-207483</t>
  </si>
  <si>
    <t>"Ceres NTFB Live","NTFB Live","5767","1","Invt. Pick","2","ITPN-207485","3","31000"</t>
  </si>
  <si>
    <t>A108389</t>
  </si>
  <si>
    <t>ITPN-207492</t>
  </si>
  <si>
    <t>ITPN-207493</t>
  </si>
  <si>
    <t>A108389|A108389|A108389</t>
  </si>
  <si>
    <t>ITPN-207492|ITPN-207493|ITPN-207492</t>
  </si>
  <si>
    <t>NEW ENCOUNTERS</t>
  </si>
  <si>
    <t>"Ceres NTFB Live","NTFB Live","5766","1","Invt. Pick","2","ITPN-207493"</t>
  </si>
  <si>
    <t>"Ceres NTFB Live","NTFB Live","36","1","Order","3","A108389"</t>
  </si>
  <si>
    <t>"Ceres NTFB Live","NTFB Live","5766","1","Invt. Pick","2","ITPN-207492"</t>
  </si>
  <si>
    <t>A108389 
 ITPN-207493</t>
  </si>
  <si>
    <t>A108389 
 ITPN-207492</t>
  </si>
  <si>
    <t>"Ceres NTFB Live","NTFB Live","5767","1","Invt. Pick","2","ITPN-207493","3","51000"</t>
  </si>
  <si>
    <t>"Ceres NTFB Live","NTFB Live","5766","1","Invt. Pick","2","ITPN-207435"</t>
  </si>
  <si>
    <t>"Ceres NTFB Live","NTFB Live","36","1","Order","3","A107954"</t>
  </si>
  <si>
    <t>"Ceres NTFB Live","NTFB Live","5766","1","Invt. Pick","2","ITPN-207433"</t>
  </si>
  <si>
    <t>A107954</t>
  </si>
  <si>
    <t>A108339</t>
  </si>
  <si>
    <t>04-19-01</t>
  </si>
  <si>
    <t>P00175555</t>
  </si>
  <si>
    <t>A108339 
 ITPN-207473</t>
  </si>
  <si>
    <t>33-01-01</t>
  </si>
  <si>
    <t>P00195102</t>
  </si>
  <si>
    <t>A108339 
 ITPN-207474</t>
  </si>
  <si>
    <t>33-10-01</t>
  </si>
  <si>
    <t>P00195179</t>
  </si>
  <si>
    <t>1000000135</t>
  </si>
  <si>
    <t>USDA SWEET PEAS, CANNED</t>
  </si>
  <si>
    <t>35-01-01</t>
  </si>
  <si>
    <t>P00154868</t>
  </si>
  <si>
    <t>1000002827</t>
  </si>
  <si>
    <t>USDA JUICE, CRANBERRY COCKTAIL CONCENTRATE</t>
  </si>
  <si>
    <t>ITPN-207473</t>
  </si>
  <si>
    <t>ITPN-207474</t>
  </si>
  <si>
    <t>A108339|A108339|A108339</t>
  </si>
  <si>
    <t>ITPN-207473|ITPN-207474|ITPN-207473</t>
  </si>
  <si>
    <t>"Ceres NTFB Live","NTFB Live","5766","1","Invt. Pick","2","ITPN-207473"</t>
  </si>
  <si>
    <t>"Ceres NTFB Live","NTFB Live","36","1","Order","3","A108339"</t>
  </si>
  <si>
    <t>"Ceres NTFB Live","NTFB Live","5767","1","Invt. Pick","2","ITPN-207473","3","20000"</t>
  </si>
  <si>
    <t>A108337</t>
  </si>
  <si>
    <t>ITPN-207470</t>
  </si>
  <si>
    <t>ITPN-207471</t>
  </si>
  <si>
    <t>"Ceres NTFB Live","NTFB Live","5766","1","Invt. Pick","2","ITPN-207470"</t>
  </si>
  <si>
    <t>"Ceres NTFB Live","NTFB Live","36","1","Order","3","A108337"</t>
  </si>
  <si>
    <t>A108337 
 ITPN-207470</t>
  </si>
  <si>
    <t>A108337 
 ITPN-207471</t>
  </si>
  <si>
    <t>"Ceres NTFB Live","NTFB Live","5767","1","Invt. Pick","2","ITPN-207470","3","70000"</t>
  </si>
  <si>
    <t>A108219</t>
  </si>
  <si>
    <t>P00193813</t>
  </si>
  <si>
    <t>A108219 
 ITPN-207453</t>
  </si>
  <si>
    <t>35-05-01</t>
  </si>
  <si>
    <t>P00189267</t>
  </si>
  <si>
    <t>1000000466</t>
  </si>
  <si>
    <t>USDA LIGHT RED KIDNEY BEANS, CANNED</t>
  </si>
  <si>
    <t>"Ceres NTFB Live","NTFB Live","5766","1","Invt. Pick","2","ITPN-207453"</t>
  </si>
  <si>
    <t>ITPN-207453</t>
  </si>
  <si>
    <t>A108219|A108219</t>
  </si>
  <si>
    <t>ITPN-207453|ITPN-207453</t>
  </si>
  <si>
    <t>- Please deliver to 1907 Sunridge Carrollton Friendship House.</t>
  </si>
  <si>
    <t>"Ceres NTFB Live","NTFB Live","36","1","Order","3","A108219"</t>
  </si>
  <si>
    <t>"Ceres NTFB Live","NTFB Live","5767","1","Invt. Pick","2","ITPN-207453","3","20000"</t>
  </si>
  <si>
    <t>A108413</t>
  </si>
  <si>
    <t>"Ceres NTFB Live","NTFB Live","5766","1","Invt. Pick","2","ITPN-207502"</t>
  </si>
  <si>
    <t>ITPN-207502</t>
  </si>
  <si>
    <t>A108413|A108413</t>
  </si>
  <si>
    <t>ITPN-207502|ITPN-207502</t>
  </si>
  <si>
    <t>"Ceres NTFB Live","NTFB Live","36","1","Order","3","A108413"</t>
  </si>
  <si>
    <t>A108413 
 ITPN-207502</t>
  </si>
  <si>
    <t>"Ceres NTFB Live","NTFB Live","5767","1","Invt. Pick","2","ITPN-207502","3","130000"</t>
  </si>
  <si>
    <t>A108374</t>
  </si>
  <si>
    <t>A108374 
 ITPN-207491</t>
  </si>
  <si>
    <t>A108374 
 ITPN-207489</t>
  </si>
  <si>
    <t>P00195180</t>
  </si>
  <si>
    <t>ITPN-207488</t>
  </si>
  <si>
    <t>ITPN-207489</t>
  </si>
  <si>
    <t>ITPN-207491</t>
  </si>
  <si>
    <t>A108374|A108374|A108374|A108374</t>
  </si>
  <si>
    <t>ITPN-207488|ITPN-207489|ITPN-207491|ITPN-207488</t>
  </si>
  <si>
    <t>"Ceres NTFB Live","NTFB Live","5766","1","Invt. Pick","2","ITPN-207491"</t>
  </si>
  <si>
    <t>"Ceres NTFB Live","NTFB Live","36","1","Order","3","A108374"</t>
  </si>
  <si>
    <t>"Ceres NTFB Live","NTFB Live","5766","1","Invt. Pick","2","ITPN-207488"</t>
  </si>
  <si>
    <t>"Ceres NTFB Live","NTFB Live","5767","1","Invt. Pick","2","ITPN-207491","3","51000"</t>
  </si>
  <si>
    <t>A108014</t>
  </si>
  <si>
    <t>A108014 
 ITPN-207442</t>
  </si>
  <si>
    <t>P00192104</t>
  </si>
  <si>
    <t>1000000271</t>
  </si>
  <si>
    <t>A108014 
 ITPN-207441</t>
  </si>
  <si>
    <t>USDA PINTO BEANS</t>
  </si>
  <si>
    <t>36-09-01</t>
  </si>
  <si>
    <t>P00192117</t>
  </si>
  <si>
    <t>ITPN-207441</t>
  </si>
  <si>
    <t>ITPN-207442</t>
  </si>
  <si>
    <t>A108248</t>
  </si>
  <si>
    <t>ITPN-207462</t>
  </si>
  <si>
    <t>A108014|A108014|A108248|A108014</t>
  </si>
  <si>
    <t>ITPN-207441|ITPN-207442|ITPN-207462|ITPN-207441</t>
  </si>
  <si>
    <t>"Ceres NTFB Live","NTFB Live","5766","1","Invt. Pick","2","ITPN-207442"</t>
  </si>
  <si>
    <t>"Ceres NTFB Live","NTFB Live","36","1","Order","3","A108014"</t>
  </si>
  <si>
    <t>"Ceres NTFB Live","NTFB Live","5766","1","Invt. Pick","2","ITPN-207441"</t>
  </si>
  <si>
    <t>"Ceres NTFB Live","NTFB Live","5767","1","Invt. Pick","2","ITPN-207442","3","51000"</t>
  </si>
  <si>
    <t>A108361</t>
  </si>
  <si>
    <t>06-36-01</t>
  </si>
  <si>
    <t>P00194647</t>
  </si>
  <si>
    <t>A108361 
 ITPN-207486</t>
  </si>
  <si>
    <t>A108361 
 ITPN-207487</t>
  </si>
  <si>
    <t>ITPN-207486</t>
  </si>
  <si>
    <t>ITPN-207487</t>
  </si>
  <si>
    <t>A108361|A108361|A108361</t>
  </si>
  <si>
    <t>ITPN-207486|ITPN-207487|ITPN-207486</t>
  </si>
  <si>
    <t>"Ceres NTFB Live","NTFB Live","5766","1","Invt. Pick","2","ITPN-207486"</t>
  </si>
  <si>
    <t>"Ceres NTFB Live","NTFB Live","36","1","Order","3","A108361"</t>
  </si>
  <si>
    <t>"Ceres NTFB Live","NTFB Live","5767","1","Invt. Pick","2","ITPN-207486","3","20000"</t>
  </si>
  <si>
    <t>A108405</t>
  </si>
  <si>
    <t>02-35-01</t>
  </si>
  <si>
    <t>P00194618</t>
  </si>
  <si>
    <t>1000001816</t>
  </si>
  <si>
    <t>A108487 
 ITPN-207510</t>
  </si>
  <si>
    <t>LENTIL CASSEROLES, PACKAGES</t>
  </si>
  <si>
    <t>P00188288</t>
  </si>
  <si>
    <t>A108405 
 ITPN-207498</t>
  </si>
  <si>
    <t>03-08-01</t>
  </si>
  <si>
    <t>P00194619</t>
  </si>
  <si>
    <t>ITPN-207498</t>
  </si>
  <si>
    <t>A108487</t>
  </si>
  <si>
    <t>ITPN-207510</t>
  </si>
  <si>
    <t>A108405|A108487|A108405</t>
  </si>
  <si>
    <t>ITPN-207498|ITPN-207510|ITPN-207498</t>
  </si>
  <si>
    <t>"Ceres NTFB Live","NTFB Live","5766","1","Invt. Pick","2","ITPN-207498"</t>
  </si>
  <si>
    <t>"Ceres NTFB Live","NTFB Live","5767","1","Invt. Pick","2","ITPN-207510","3","10000"</t>
  </si>
  <si>
    <t>"Ceres NTFB Live","NTFB Live","5766","1","Invt. Pick","2","ITPN-207430"</t>
  </si>
  <si>
    <t>"Ceres NTFB Live","NTFB Live","36","1","Order","3","A107897"</t>
  </si>
  <si>
    <t>ITPN-207430|ITPN-207431|ITPN-207451|ITPN-207467|ITPN-207468|ITPN-207430</t>
  </si>
  <si>
    <t>- Collin County delivery</t>
  </si>
  <si>
    <t>A107897|A107899|A108201|A108323|A108323|A107897</t>
  </si>
  <si>
    <t>A107897</t>
  </si>
  <si>
    <t>A108323 
 ITPN-207468</t>
  </si>
  <si>
    <t>A107899 
 ITPN-207431</t>
  </si>
  <si>
    <t>A107897 
 ITPN-207430</t>
  </si>
  <si>
    <t>A108201 
 ITPN-207451</t>
  </si>
  <si>
    <t>A108323 
 ITPN-207467</t>
  </si>
  <si>
    <t>"Ceres NTFB Live","NTFB Live","5767","1","Invt. Pick","2","ITPN-207468","3","40000"</t>
  </si>
  <si>
    <t>A108241</t>
  </si>
  <si>
    <t>ITPN-207461</t>
  </si>
  <si>
    <t>A108406</t>
  </si>
  <si>
    <t>ITPN-207499</t>
  </si>
  <si>
    <t>A108241|A108406|A108241</t>
  </si>
  <si>
    <t>ITPN-207461|ITPN-207499|ITPN-207461</t>
  </si>
  <si>
    <t>"Ceres NTFB Live","NTFB Live","5766","1","Invt. Pick","2","ITPN-207461"</t>
  </si>
  <si>
    <t>A108064</t>
  </si>
  <si>
    <t>ITPN-207444</t>
  </si>
  <si>
    <t>ITPN-207446</t>
  </si>
  <si>
    <t>A108064|A108064|A108064</t>
  </si>
  <si>
    <t>ITPN-207444|ITPN-207446|ITPN-207444</t>
  </si>
  <si>
    <t>"Ceres NTFB Live","NTFB Live","5766","1","Invt. Pick","2","ITPN-207444"</t>
  </si>
  <si>
    <t>"Ceres NTFB Live","NTFB Live","36","1","Order","3","A108064"</t>
  </si>
  <si>
    <t>A108064 
 ITPN-207444</t>
  </si>
  <si>
    <t>A108064 
 ITPN-207446</t>
  </si>
  <si>
    <t>"Ceres NTFB Live","NTFB Live","5767","1","Invt. Pick","2","ITPN-207444","3","40000"</t>
  </si>
  <si>
    <t>"Ceres NTFB Live","NTFB Live","5766","1","Invt. Pick","2","ITPN-207418"</t>
  </si>
  <si>
    <t>"Ceres NTFB Live","NTFB Live","36","1","Order","3","A107495"</t>
  </si>
  <si>
    <t>ITPN-207417|ITPN-207418|ITPN-207419|ITPN-207420|ITPN-207421|ITPN-207422|ITPN-207423|ITPN-207424|ITPN-207425|ITPN-207417</t>
  </si>
  <si>
    <t>A107495|A107495|A107495|A107502|A107502|A107580|A107580|A107796|A107796|A107495</t>
  </si>
  <si>
    <t>"Ceres NTFB Live","NTFB Live","5766","1","Invt. Pick","2","ITPN-207417"</t>
  </si>
  <si>
    <t>A107495</t>
  </si>
  <si>
    <t>A107580 
 ITPN-207423</t>
  </si>
  <si>
    <t>A107495 
 ITPN-207417</t>
  </si>
  <si>
    <t>A107796 
 ITPN-207425</t>
  </si>
  <si>
    <t>A107495 
 ITPN-207419</t>
  </si>
  <si>
    <t>A107495 
 ITPN-207418</t>
  </si>
  <si>
    <t>"Ceres NTFB Live","NTFB Live","5767","1","Invt. Pick","2","ITPN-207423","3","40000"</t>
  </si>
  <si>
    <t>"Ceres NTFB Live","NTFB Live","5767","1","Invt. Pick","2","ITPN-207493","3","70000"</t>
  </si>
  <si>
    <t>"Ceres NTFB Live","NTFB Live","5767","1","Invt. Pick","2","ITPN-207460","3","111000"</t>
  </si>
  <si>
    <t>P00193398</t>
  </si>
  <si>
    <t>A108237 
 ITPN-207460</t>
  </si>
  <si>
    <t>"Ceres NTFB Live","NTFB Live","5767","1","Invt. Pick","2","ITPN-207478","3","80000"</t>
  </si>
  <si>
    <t>A107923 
 ITPN-207432</t>
  </si>
  <si>
    <t>"Ceres NTFB Live","NTFB Live","5767","1","Invt. Pick","2","ITPN-207432","3","10000"</t>
  </si>
  <si>
    <t>A107826 
 ITPN-207427</t>
  </si>
  <si>
    <t>53-02-01</t>
  </si>
  <si>
    <t>P00160080</t>
  </si>
  <si>
    <t>1000002862</t>
  </si>
  <si>
    <t>A108471 
 ITPN-207505</t>
  </si>
  <si>
    <t>USDA JUICE CUPS, ORANGE,  FROZEN</t>
  </si>
  <si>
    <t>53-32-01</t>
  </si>
  <si>
    <t>P00191919</t>
  </si>
  <si>
    <t>53-36-01</t>
  </si>
  <si>
    <t>P00195688</t>
  </si>
  <si>
    <t>1000001627</t>
  </si>
  <si>
    <t>USDA HAM, COOKED, FROZEN</t>
  </si>
  <si>
    <t>"Ceres NTFB Live","NTFB Live","5767","1","Invt. Pick","2","ITPN-207427","3","60000"</t>
  </si>
  <si>
    <t>A108478 
 ITPN-207507</t>
  </si>
  <si>
    <t>"Ceres NTFB Live","NTFB Live","5767","1","Invt. Pick","2","ITPN-207507","3","70000"</t>
  </si>
  <si>
    <t>A108357 
 ITPN-207481</t>
  </si>
  <si>
    <t>P00194000</t>
  </si>
  <si>
    <t>1000003663</t>
  </si>
  <si>
    <t>CHICKEN, WING PORTIONS, FROZEN</t>
  </si>
  <si>
    <t>"Ceres NTFB Live","NTFB Live","5767","1","Invt. Pick","2","ITPN-207481","3","31000"</t>
  </si>
  <si>
    <t>A108374 
 ITPN-207488</t>
  </si>
  <si>
    <t>P00194004</t>
  </si>
  <si>
    <t>1000003667</t>
  </si>
  <si>
    <t>CHICKEN, THIGHS, FROZEN</t>
  </si>
  <si>
    <t>"Ceres NTFB Live","NTFB Live","5767","1","Invt. Pick","2","ITPN-207488","3","20000"</t>
  </si>
  <si>
    <t>P00179673</t>
  </si>
  <si>
    <t>A108248 
 ITPN-207462</t>
  </si>
  <si>
    <t>P00191139</t>
  </si>
  <si>
    <t>P00191263</t>
  </si>
  <si>
    <t>1000002959</t>
  </si>
  <si>
    <t>BREAKFAST, NON-MEAT, ASSORTED, FROZEN</t>
  </si>
  <si>
    <t>53-30-01</t>
  </si>
  <si>
    <t>P00191264</t>
  </si>
  <si>
    <t>"Ceres NTFB Live","NTFB Live","5767","1","Invt. Pick","2","ITPN-207462","3","70000"</t>
  </si>
  <si>
    <t>P00179562</t>
  </si>
  <si>
    <t>A108241 
 ITPN-207461</t>
  </si>
  <si>
    <t>52-31-01</t>
  </si>
  <si>
    <t>P00179454</t>
  </si>
  <si>
    <t>A108406 
 ITPN-207499</t>
  </si>
  <si>
    <t>P00191290</t>
  </si>
  <si>
    <t>1000003186</t>
  </si>
  <si>
    <t>SNACKS, ASSORTED FROZEN DESSERTS</t>
  </si>
  <si>
    <t>"Ceres NTFB Live","NTFB Live","5767","1","Invt. Pick","2","ITPN-207461","3","40000"</t>
  </si>
  <si>
    <t>A107502 
 ITPN-207421</t>
  </si>
  <si>
    <t>A107502 
 ITPN-207420</t>
  </si>
  <si>
    <t>A107580 
 ITPN-207422</t>
  </si>
  <si>
    <t>A107796 
 ITPN-207424</t>
  </si>
  <si>
    <t>"Ceres NTFB Live","NTFB Live","5767","1","Invt. Pick","2","ITPN-207421","3","41000"</t>
  </si>
  <si>
    <t>Auto+Hide+Values+Formulas=Sheet209,Sheet210+FormulasOnly</t>
  </si>
  <si>
    <t>Auto+Hide+Values+Formulas=Sheet211,Sheet212+FormulasOnly</t>
  </si>
  <si>
    <t>=NL("first","sales header","Sell-to Customer Name","Sell-to Customer No.",$F$4,"Status","Released")</t>
  </si>
  <si>
    <t>Auto+Hide+Values+Formulas=Sheet213,Sheet214+FormulasOnly</t>
  </si>
  <si>
    <t>Auto+Hide+Values+Formulas=Sheet215,Sheet216+FormulasOnly</t>
  </si>
  <si>
    <t>Auto+Hide+Values+Formulas=Sheet217,Sheet218+FormulasOnly</t>
  </si>
  <si>
    <t>Auto+Hide+Values+Formulas=Sheet219,Sheet220+FormulasOnly</t>
  </si>
  <si>
    <t>Auto+Hide+Values+Formulas=Sheet313,Sheet209,Sheet210</t>
  </si>
  <si>
    <t>Auto+Hide+Values+Formulas=Sheet313,Sheet209,Sheet210+FormulasOnly</t>
  </si>
  <si>
    <t>Auto+Hide+Values+Formulas=Sheet314,Sheet211,Sheet212</t>
  </si>
  <si>
    <t>Auto+Hide+Values+Formulas=Sheet314,Sheet211,Sheet212+FormulasOnly</t>
  </si>
  <si>
    <t>Auto+Hide+Values+Formulas=Sheet315,Sheet213,Sheet214</t>
  </si>
  <si>
    <t>Auto+Hide+Values+Formulas=Sheet315,Sheet213,Sheet214+FormulasOnly</t>
  </si>
  <si>
    <t>Auto+Hide+Values+Formulas=Sheet316,Sheet213,Sheet214+AutoSheet</t>
  </si>
  <si>
    <t>Auto+Hide+Values+Formulas=Sheet316,Sheet213,Sheet214+AutoSheet+FormulasOnly</t>
  </si>
  <si>
    <t>Auto+Hide+Values+Formulas=Sheet317,Sheet213,Sheet214+AutoSheet</t>
  </si>
  <si>
    <t>Auto+Hide+Values+Formulas=Sheet317,Sheet213,Sheet214+AutoSheet+FormulasOnly</t>
  </si>
  <si>
    <t>Auto+Hide+Values+Formulas=Sheet318,Sheet213,Sheet214+AutoSheet</t>
  </si>
  <si>
    <t>Auto+Hide+Values+Formulas=Sheet318,Sheet213,Sheet214+AutoSheet+FormulasOnly</t>
  </si>
  <si>
    <t>Auto+Hide+Values+Formulas=Sheet319,Sheet213,Sheet214+AutoSheet</t>
  </si>
  <si>
    <t>Auto+Hide+Values+Formulas=Sheet319,Sheet213,Sheet214+AutoSheet+FormulasOnly</t>
  </si>
  <si>
    <t>Auto+Hide+Values+Formulas=Sheet320,Sheet213,Sheet214+AutoSheet</t>
  </si>
  <si>
    <t>Auto+Hide+Values+Formulas=Sheet320,Sheet213,Sheet214+AutoSheet+FormulasOnly</t>
  </si>
  <si>
    <t>Auto+Hide+Values+Formulas=Sheet321,Sheet213,Sheet214+AutoSheet</t>
  </si>
  <si>
    <t>=IF(F30="","HIDESHEET","")</t>
  </si>
  <si>
    <t>=IF(E30="",F5&amp;"  ("&amp;F4&amp;") - NO "&amp;C29,F5&amp;"  ("&amp;F4&amp;") - "&amp;C29&amp;" PICK LIST")</t>
  </si>
  <si>
    <t>=SUM(I30:I41)</t>
  </si>
  <si>
    <t>=ROUND(SUM(O30:O41),0)</t>
  </si>
  <si>
    <t>=ROUND(COUNT(O30:O41),0)</t>
  </si>
  <si>
    <t>="ESTIMATED "&amp;O29&amp;" PALLETS:"</t>
  </si>
  <si>
    <t>=E20</t>
  </si>
  <si>
    <t>=F20</t>
  </si>
  <si>
    <t>=IF(NP("join",E12:E19,"|")="|","",NP("join",E12:E19,"|"))</t>
  </si>
  <si>
    <t>=IF(NP("join",F12:F19,"|")="|","",NP("join",F12:F19,"|"))</t>
  </si>
  <si>
    <t>=NL("Rows","warehouse activity line",,"No.",$F$20,"+Bin Code","*","zone code",C29)</t>
  </si>
  <si>
    <t>=+B41</t>
  </si>
  <si>
    <t>Auto+Hide+Values+Formulas=Sheet321,Sheet213,Sheet214+AutoSheet+FormulasOnly</t>
  </si>
  <si>
    <t>Auto+Hide+Values+Formulas=Sheet322,Sheet213,Sheet214+AutoSheet</t>
  </si>
  <si>
    <t>Auto+Hide+Values+Formulas=Sheet322,Sheet213,Sheet214+AutoSheet+FormulasOnly</t>
  </si>
  <si>
    <t>Auto+Hide+Values+Formulas=Sheet323,Sheet213,Sheet214+AutoSheet</t>
  </si>
  <si>
    <t>Auto+Hide+Values+Formulas=Sheet323,Sheet213,Sheet214+AutoSheet+FormulasOnly</t>
  </si>
  <si>
    <t>Auto+Hide+Values+Formulas=Sheet324,Sheet213,Sheet214+AutoSheet</t>
  </si>
  <si>
    <t>Auto+Hide+Values+Formulas=Sheet324,Sheet213,Sheet214+AutoSheet+FormulasOnly</t>
  </si>
  <si>
    <t>Auto+Hide+Values+Formulas=Sheet325,Sheet213,Sheet214+AutoSheet</t>
  </si>
  <si>
    <t>Auto+Hide+Values+Formulas=Sheet325,Sheet213,Sheet214+AutoSheet+FormulasOnly</t>
  </si>
  <si>
    <t>Auto+Hide+Values+Formulas=Sheet326,Sheet213,Sheet214+AutoSheet</t>
  </si>
  <si>
    <t>=IF(F35="","HIDESHEET","")</t>
  </si>
  <si>
    <t>=IF(E35="",F5&amp;"  ("&amp;F4&amp;") - NO "&amp;C34,F5&amp;"  ("&amp;F4&amp;") - "&amp;C34&amp;" PICK LIST")</t>
  </si>
  <si>
    <t>=SUM(I35:I41)</t>
  </si>
  <si>
    <t>=ROUND(SUM(O35:O41),0)</t>
  </si>
  <si>
    <t>=ROUND(COUNT(O35:O41),0)</t>
  </si>
  <si>
    <t>="ESTIMATED "&amp;O34&amp;" PALLETS:"</t>
  </si>
  <si>
    <t>=F25</t>
  </si>
  <si>
    <t>=IF(NP("join",E12:E24,"|")="|","",NP("join",E12:E24,"|"))</t>
  </si>
  <si>
    <t>=IF(NP("join",F12:F24,"|")="|","",NP("join",F12:F24,"|"))</t>
  </si>
  <si>
    <t>=NL("Rows","warehouse activity line",,"No.",$F$25,"+Bin Code","*","zone code",C34)</t>
  </si>
  <si>
    <t>="""Ceres NTFB Live"",""NTFB Live"",""5767"",""1"",""Invt. Pick"",""2"",""ITPN-207437"",""3"",""20000"""</t>
  </si>
  <si>
    <t>="""Ceres NTFB Live"",""NTFB Live"",""5767"",""1"",""Invt. Pick"",""2"",""ITPN-207435"",""3"",""40000"""</t>
  </si>
  <si>
    <t>="""Ceres NTFB Live"",""NTFB Live"",""5767"",""1"",""Invt. Pick"",""2"",""ITPN-207464"",""3"",""31000"""</t>
  </si>
  <si>
    <t>="""Ceres NTFB Live"",""NTFB Live"",""5767"",""1"",""Invt. Pick"",""2"",""ITPN-207439"",""3"",""31000"""</t>
  </si>
  <si>
    <t>="""Ceres NTFB Live"",""NTFB Live"",""5767"",""1"",""Invt. Pick"",""2"",""ITPN-207454"",""3"",""20000"""</t>
  </si>
  <si>
    <t>Auto+Hide+Values+Formulas=Sheet326,Sheet213,Sheet214+AutoSheet+FormulasOnly</t>
  </si>
  <si>
    <t>Auto+Hide+Values+Formulas=Sheet327,Sheet213,Sheet214+AutoSheet</t>
  </si>
  <si>
    <t>Auto+Hide+Values+Formulas=Sheet327,Sheet213,Sheet214+AutoSheet+FormulasOnly</t>
  </si>
  <si>
    <t>Auto+Hide+Values+Formulas=Sheet328,Sheet213,Sheet214+AutoSheet</t>
  </si>
  <si>
    <t>Auto+Hide+Values+Formulas=Sheet328,Sheet213,Sheet214+AutoSheet+FormulasOnly</t>
  </si>
  <si>
    <t>Auto+Hide+Values+Formulas=Sheet329,Sheet213,Sheet214+AutoSheet</t>
  </si>
  <si>
    <t>Auto+Hide+Values+Formulas=Sheet329,Sheet213,Sheet214+AutoSheet+FormulasOnly</t>
  </si>
  <si>
    <t>Auto+Hide+Values+Formulas=Sheet330,Sheet213,Sheet214+AutoSheet</t>
  </si>
  <si>
    <t>Auto+Hide+Values+Formulas=Sheet330,Sheet213,Sheet214+AutoSheet+FormulasOnly</t>
  </si>
  <si>
    <t>Auto+Hide+Values+Formulas=Sheet331,Sheet213,Sheet214+AutoSheet</t>
  </si>
  <si>
    <t>Auto+Hide+Values+Formulas=Sheet331,Sheet213,Sheet214+AutoSheet+FormulasOnly</t>
  </si>
  <si>
    <t>Auto+Hide+Values+Formulas=Sheet332,Sheet213,Sheet214+AutoSheet</t>
  </si>
  <si>
    <t>Auto+Hide+Values+Formulas=Sheet332,Sheet213,Sheet214+AutoSheet+FormulasOnly</t>
  </si>
  <si>
    <t>Auto+Hide+Values+Formulas=Sheet333,Sheet213,Sheet214+AutoSheet</t>
  </si>
  <si>
    <t>Auto+Hide+Values+Formulas=Sheet333,Sheet213,Sheet214+AutoSheet+FormulasOnly</t>
  </si>
  <si>
    <t>Auto+Hide+Values+Formulas=Sheet334,Sheet213,Sheet214+AutoSheet</t>
  </si>
  <si>
    <t>Auto+Hide+Values+Formulas=Sheet334,Sheet213,Sheet214+AutoSheet+FormulasOnly</t>
  </si>
  <si>
    <t>Auto+Hide+Values+Formulas=Sheet335,Sheet213,Sheet214+AutoSheet</t>
  </si>
  <si>
    <t>Auto+Hide+Values+Formulas=Sheet335,Sheet213,Sheet214+AutoSheet+FormulasOnly</t>
  </si>
  <si>
    <t>Auto+Hide+Values+Formulas=Sheet336,Sheet213,Sheet214+AutoSheet</t>
  </si>
  <si>
    <t>Auto+Hide+Values+Formulas=Sheet336,Sheet213,Sheet214+AutoSheet+FormulasOnly</t>
  </si>
  <si>
    <t>Auto+Hide+Values+Formulas=Sheet337,Sheet213,Sheet214+AutoSheet</t>
  </si>
  <si>
    <t>Auto+Hide+Values+Formulas=Sheet337,Sheet213,Sheet214+AutoSheet+FormulasOnly</t>
  </si>
  <si>
    <t>Auto+Hide+Values+Formulas=Sheet338,Sheet213,Sheet214+AutoSheet</t>
  </si>
  <si>
    <t>Auto+Hide+Values+Formulas=Sheet338,Sheet213,Sheet214+AutoSheet+FormulasOnly</t>
  </si>
  <si>
    <t>Auto+Hide+Values+Formulas=Sheet339,Sheet215,Sheet216</t>
  </si>
  <si>
    <t>Auto+Hide+Values+Formulas=Sheet339,Sheet215,Sheet216+FormulasOnly</t>
  </si>
  <si>
    <t>Auto+Hide+Values+Formulas=Sheet340,Sheet215,Sheet216+AutoSheet</t>
  </si>
  <si>
    <t>Auto+Hide+Values+Formulas=Sheet340,Sheet215,Sheet216+AutoSheet+FormulasOnly</t>
  </si>
  <si>
    <t>Auto+Hide+Values+Formulas=Sheet341,Sheet215,Sheet216+AutoSheet</t>
  </si>
  <si>
    <t>Auto+Hide+Values+Formulas=Sheet341,Sheet215,Sheet216+AutoSheet+FormulasOnly</t>
  </si>
  <si>
    <t>Auto+Hide+Values+Formulas=Sheet342,Sheet215,Sheet216+AutoSheet</t>
  </si>
  <si>
    <t>Auto+Hide+Values+Formulas=Sheet342,Sheet215,Sheet216+AutoSheet+FormulasOnly</t>
  </si>
  <si>
    <t>Auto+Hide+Values+Formulas=Sheet343,Sheet215,Sheet216+AutoSheet</t>
  </si>
  <si>
    <t>Auto+Hide+Values+Formulas=Sheet343,Sheet215,Sheet216+AutoSheet+FormulasOnly</t>
  </si>
  <si>
    <t>Auto+Hide+Values+Formulas=Sheet344,Sheet215,Sheet216+AutoSheet</t>
  </si>
  <si>
    <t>Auto+Hide+Values+Formulas=Sheet344,Sheet215,Sheet216+AutoSheet+FormulasOnly</t>
  </si>
  <si>
    <t>Auto+Hide+Values+Formulas=Sheet345,Sheet215,Sheet216+AutoSheet</t>
  </si>
  <si>
    <t>=SUM(I30:I31)</t>
  </si>
  <si>
    <t>=ROUND(SUM(O30:O31),0)</t>
  </si>
  <si>
    <t>=ROUND(COUNT(O30:O31),0)</t>
  </si>
  <si>
    <t>Auto+Hide+Values+Formulas=Sheet345,Sheet215,Sheet216+AutoSheet+FormulasOnly</t>
  </si>
  <si>
    <t>Auto+Hide+Values+Formulas=Sheet346,Sheet215,Sheet216+AutoSheet</t>
  </si>
  <si>
    <t>Auto+Hide+Values+Formulas=Sheet346,Sheet215,Sheet216+AutoSheet+FormulasOnly</t>
  </si>
  <si>
    <t>Auto+Hide+Values+Formulas=Sheet347,Sheet215,Sheet216+AutoSheet</t>
  </si>
  <si>
    <t>Auto+Hide+Values+Formulas=Sheet347,Sheet215,Sheet216+AutoSheet+FormulasOnly</t>
  </si>
  <si>
    <t>Auto+Hide+Values+Formulas=Sheet348,Sheet215,Sheet216+AutoSheet</t>
  </si>
  <si>
    <t>Auto+Hide+Values+Formulas=Sheet348,Sheet215,Sheet216+AutoSheet+FormulasOnly</t>
  </si>
  <si>
    <t>Auto+Hide+Values+Formulas=Sheet349,Sheet215,Sheet216+AutoSheet</t>
  </si>
  <si>
    <t>Auto+Hide+Values+Formulas=Sheet349,Sheet215,Sheet216+AutoSheet+FormulasOnly</t>
  </si>
  <si>
    <t>Auto+Hide+Values+Formulas=Sheet350,Sheet215,Sheet216+AutoSheet</t>
  </si>
  <si>
    <t>=SUM(I35:I36)</t>
  </si>
  <si>
    <t>=ROUND(SUM(O35:O36),0)</t>
  </si>
  <si>
    <t>=ROUND(COUNT(O35:O36),0)</t>
  </si>
  <si>
    <t>Auto+Hide+Values+Formulas=Sheet350,Sheet215,Sheet216+AutoSheet+FormulasOnly</t>
  </si>
  <si>
    <t>Auto+Hide+Values+Formulas=Sheet351,Sheet215,Sheet216+AutoSheet</t>
  </si>
  <si>
    <t>Auto+Hide+Values+Formulas=Sheet351,Sheet215,Sheet216+AutoSheet+FormulasOnly</t>
  </si>
  <si>
    <t>Auto+Hide+Values+Formulas=Sheet352,Sheet215,Sheet216+AutoSheet</t>
  </si>
  <si>
    <t>Auto+Hide+Values+Formulas=Sheet352,Sheet215,Sheet216+AutoSheet+FormulasOnly</t>
  </si>
  <si>
    <t>Auto+Hide+Values+Formulas=Sheet353,Sheet215,Sheet216+AutoSheet</t>
  </si>
  <si>
    <t>Auto+Hide+Values+Formulas=Sheet353,Sheet215,Sheet216+AutoSheet+FormulasOnly</t>
  </si>
  <si>
    <t>Auto+Hide+Values+Formulas=Sheet354,Sheet215,Sheet216+AutoSheet</t>
  </si>
  <si>
    <t>Auto+Hide+Values+Formulas=Sheet354,Sheet215,Sheet216+AutoSheet+FormulasOnly</t>
  </si>
  <si>
    <t>Auto+Hide+Values+Formulas=Sheet355,Sheet215,Sheet216+AutoSheet</t>
  </si>
  <si>
    <t>Auto+Hide+Values+Formulas=Sheet355,Sheet215,Sheet216+AutoSheet+FormulasOnly</t>
  </si>
  <si>
    <t>Auto+Hide+Values+Formulas=Sheet356,Sheet215,Sheet216+AutoSheet</t>
  </si>
  <si>
    <t>Auto+Hide+Values+Formulas=Sheet356,Sheet215,Sheet216+AutoSheet+FormulasOnly</t>
  </si>
  <si>
    <t>Auto+Hide+Values+Formulas=Sheet357,Sheet215,Sheet216+AutoSheet</t>
  </si>
  <si>
    <t>Auto+Hide+Values+Formulas=Sheet357,Sheet215,Sheet216+AutoSheet+FormulasOnly</t>
  </si>
  <si>
    <t>Auto+Hide+Values+Formulas=Sheet358,Sheet215,Sheet216+AutoSheet</t>
  </si>
  <si>
    <t>Auto+Hide+Values+Formulas=Sheet358,Sheet215,Sheet216+AutoSheet+FormulasOnly</t>
  </si>
  <si>
    <t>Auto+Hide+Values+Formulas=Sheet359,Sheet215,Sheet216+AutoSheet</t>
  </si>
  <si>
    <t>Auto+Hide+Values+Formulas=Sheet359,Sheet215,Sheet216+AutoSheet+FormulasOnly</t>
  </si>
  <si>
    <t>Auto+Hide+Values+Formulas=Sheet360,Sheet215,Sheet216+AutoSheet</t>
  </si>
  <si>
    <t>Auto+Hide+Values+Formulas=Sheet360,Sheet215,Sheet216+AutoSheet+FormulasOnly</t>
  </si>
  <si>
    <t>Auto+Hide+Values+Formulas=Sheet361,Sheet215,Sheet216+AutoSheet</t>
  </si>
  <si>
    <t>Auto+Hide+Values+Formulas=Sheet361,Sheet215,Sheet216+AutoSheet+FormulasOnly</t>
  </si>
  <si>
    <t>Auto+Hide+Values+Formulas=Sheet362,Sheet215,Sheet216+AutoSheet</t>
  </si>
  <si>
    <t>Auto+Hide+Values+Formulas=Sheet362,Sheet215,Sheet216+AutoSheet+FormulasOnly</t>
  </si>
  <si>
    <t>Auto+Hide+Values+Formulas=Sheet363,Sheet217,Sheet218</t>
  </si>
  <si>
    <t>Auto+Hide+Values+Formulas=Sheet363,Sheet217,Sheet218+FormulasOnly</t>
  </si>
  <si>
    <t>Auto+Hide+Values+Formulas=Sheet364,Sheet217,Sheet218+AutoSheet</t>
  </si>
  <si>
    <t>Auto+Hide+Values+Formulas=Sheet364,Sheet217,Sheet218+AutoSheet+FormulasOnly</t>
  </si>
  <si>
    <t>Auto+Hide+Values+Formulas=Sheet365,Sheet217,Sheet218+AutoSheet</t>
  </si>
  <si>
    <t>Auto+Hide+Values+Formulas=Sheet365,Sheet217,Sheet218+AutoSheet+FormulasOnly</t>
  </si>
  <si>
    <t>Auto+Hide+Values+Formulas=Sheet366,Sheet217,Sheet218+AutoSheet</t>
  </si>
  <si>
    <t>Auto+Hide+Values+Formulas=Sheet366,Sheet217,Sheet218+AutoSheet+FormulasOnly</t>
  </si>
  <si>
    <t>Auto+Hide+Values+Formulas=Sheet367,Sheet217,Sheet218+AutoSheet</t>
  </si>
  <si>
    <t>Auto+Hide+Values+Formulas=Sheet367,Sheet217,Sheet218+AutoSheet+FormulasOnly</t>
  </si>
  <si>
    <t>Auto+Hide+Values+Formulas=Sheet368,Sheet217,Sheet218+AutoSheet</t>
  </si>
  <si>
    <t>Auto+Hide+Values+Formulas=Sheet368,Sheet217,Sheet218+AutoSheet+FormulasOnly</t>
  </si>
  <si>
    <t>Auto+Hide+Values+Formulas=Sheet369,Sheet217,Sheet218+AutoSheet</t>
  </si>
  <si>
    <t>=SUM(I30:I34)</t>
  </si>
  <si>
    <t>=ROUND(SUM(O30:O34),0)</t>
  </si>
  <si>
    <t>=ROUND(COUNT(O30:O34),0)</t>
  </si>
  <si>
    <t>Auto+Hide+Values+Formulas=Sheet369,Sheet217,Sheet218+AutoSheet+FormulasOnly</t>
  </si>
  <si>
    <t>Auto+Hide+Values+Formulas=Sheet370,Sheet217,Sheet218+AutoSheet</t>
  </si>
  <si>
    <t>Auto+Hide+Values+Formulas=Sheet370,Sheet217,Sheet218+AutoSheet+FormulasOnly</t>
  </si>
  <si>
    <t>Auto+Hide+Values+Formulas=Sheet371,Sheet217,Sheet218+AutoSheet</t>
  </si>
  <si>
    <t>Auto+Hide+Values+Formulas=Sheet371,Sheet217,Sheet218+AutoSheet+FormulasOnly</t>
  </si>
  <si>
    <t>Auto+Hide+Values+Formulas=Sheet372,Sheet217,Sheet218+AutoSheet</t>
  </si>
  <si>
    <t>Auto+Hide+Values+Formulas=Sheet372,Sheet217,Sheet218+AutoSheet+FormulasOnly</t>
  </si>
  <si>
    <t>Auto+Hide+Values+Formulas=Sheet373,Sheet217,Sheet218+AutoSheet</t>
  </si>
  <si>
    <t>Auto+Hide+Values+Formulas=Sheet373,Sheet217,Sheet218+AutoSheet+FormulasOnly</t>
  </si>
  <si>
    <t>Auto+Hide+Values+Formulas=Sheet374,Sheet217,Sheet218+AutoSheet</t>
  </si>
  <si>
    <t>=SUM(I35:I43)</t>
  </si>
  <si>
    <t>=ROUND(SUM(O35:O43),0)</t>
  </si>
  <si>
    <t>=ROUND(COUNT(O35:O43),0)</t>
  </si>
  <si>
    <t>="""Ceres NTFB Live"",""NTFB Live"",""5767"",""1"",""Invt. Pick"",""2"",""ITPN-207433"",""3"",""20000"""</t>
  </si>
  <si>
    <t>="""Ceres NTFB Live"",""NTFB Live"",""5767"",""1"",""Invt. Pick"",""2"",""ITPN-207504"",""3"",""20000"""</t>
  </si>
  <si>
    <t>="""Ceres NTFB Live"",""NTFB Live"",""5767"",""1"",""Invt. Pick"",""2"",""ITPN-207463"",""3"",""20000"""</t>
  </si>
  <si>
    <t>="""Ceres NTFB Live"",""NTFB Live"",""5767"",""1"",""Invt. Pick"",""2"",""ITPN-207469"",""3"",""20000"""</t>
  </si>
  <si>
    <t>="""Ceres NTFB Live"",""NTFB Live"",""5767"",""1"",""Invt. Pick"",""2"",""ITPN-207469"",""3"",""40000"""</t>
  </si>
  <si>
    <t>="""Ceres NTFB Live"",""NTFB Live"",""5767"",""1"",""Invt. Pick"",""2"",""ITPN-207503"",""3"",""40000"""</t>
  </si>
  <si>
    <t>="""Ceres NTFB Live"",""NTFB Live"",""5767"",""1"",""Invt. Pick"",""2"",""ITPN-207504"",""3"",""40000"""</t>
  </si>
  <si>
    <t>Auto+Hide+Values+Formulas=Sheet374,Sheet217,Sheet218+AutoSheet+FormulasOnly</t>
  </si>
  <si>
    <t>Auto+Hide+Values+Formulas=Sheet375,Sheet217,Sheet218+AutoSheet</t>
  </si>
  <si>
    <t>Auto+Hide+Values+Formulas=Sheet375,Sheet217,Sheet218+AutoSheet+FormulasOnly</t>
  </si>
  <si>
    <t>Auto+Hide+Values+Formulas=Sheet376,Sheet217,Sheet218+AutoSheet</t>
  </si>
  <si>
    <t>Auto+Hide+Values+Formulas=Sheet376,Sheet217,Sheet218+AutoSheet+FormulasOnly</t>
  </si>
  <si>
    <t>Auto+Hide+Values+Formulas=Sheet377,Sheet217,Sheet218+AutoSheet</t>
  </si>
  <si>
    <t>Auto+Hide+Values+Formulas=Sheet377,Sheet217,Sheet218+AutoSheet+FormulasOnly</t>
  </si>
  <si>
    <t>Auto+Hide+Values+Formulas=Sheet378,Sheet217,Sheet218+AutoSheet</t>
  </si>
  <si>
    <t>Auto+Hide+Values+Formulas=Sheet378,Sheet217,Sheet218+AutoSheet+FormulasOnly</t>
  </si>
  <si>
    <t>Auto+Hide+Values+Formulas=Sheet379,Sheet217,Sheet218+AutoSheet</t>
  </si>
  <si>
    <t>Auto+Hide+Values+Formulas=Sheet379,Sheet217,Sheet218+AutoSheet+FormulasOnly</t>
  </si>
  <si>
    <t>Auto+Hide+Values+Formulas=Sheet380,Sheet217,Sheet218+AutoSheet</t>
  </si>
  <si>
    <t>Auto+Hide+Values+Formulas=Sheet380,Sheet217,Sheet218+AutoSheet+FormulasOnly</t>
  </si>
  <si>
    <t>Auto+Hide+Values+Formulas=Sheet381,Sheet217,Sheet218+AutoSheet</t>
  </si>
  <si>
    <t>Auto+Hide+Values+Formulas=Sheet381,Sheet217,Sheet218+AutoSheet+FormulasOnly</t>
  </si>
  <si>
    <t>Auto+Hide+Values+Formulas=Sheet382,Sheet217,Sheet218+AutoSheet</t>
  </si>
  <si>
    <t>Auto+Hide+Values+Formulas=Sheet382,Sheet217,Sheet218+AutoSheet+FormulasOnly</t>
  </si>
  <si>
    <t>Auto+Hide+Values+Formulas=Sheet383,Sheet217,Sheet218+AutoSheet</t>
  </si>
  <si>
    <t>Auto+Hide+Values+Formulas=Sheet383,Sheet217,Sheet218+AutoSheet+FormulasOnly</t>
  </si>
  <si>
    <t>Auto+Hide+Values+Formulas=Sheet384,Sheet217,Sheet218+AutoSheet</t>
  </si>
  <si>
    <t>Auto+Hide+Values+Formulas=Sheet384,Sheet217,Sheet218+AutoSheet+FormulasOnly</t>
  </si>
  <si>
    <t>Auto+Hide+Values+Formulas=Sheet385,Sheet217,Sheet218+AutoSheet</t>
  </si>
  <si>
    <t>Auto+Hide+Values+Formulas=Sheet385,Sheet217,Sheet218+AutoSheet+FormulasOnly</t>
  </si>
  <si>
    <t>Auto+Hide+Values+Formulas=Sheet386,Sheet217,Sheet218+AutoSheet</t>
  </si>
  <si>
    <t>Auto+Hide+Values+Formulas=Sheet386,Sheet217,Sheet218+AutoSheet+FormulasOnly</t>
  </si>
  <si>
    <t>Auto+Hide+Values+Formulas=Sheet387,Sheet219,Sheet220</t>
  </si>
  <si>
    <t>Auto+Hide+Values+Formulas=Sheet387,Sheet219,Sheet220+FormulasOnly</t>
  </si>
  <si>
    <t>Auto+Hide+Values+Formulas=Sheet388,Sheet219,Sheet220+AutoSheet</t>
  </si>
  <si>
    <t>Auto+Hide+Values+Formulas=Sheet388,Sheet219,Sheet220+AutoSheet+FormulasOnly</t>
  </si>
  <si>
    <t>Auto+Hide+Values+Formulas=Sheet389,Sheet219,Sheet220+AutoSheet</t>
  </si>
  <si>
    <t>Auto+Hide+Values+Formulas=Sheet389,Sheet219,Sheet220+AutoSheet+FormulasOnly</t>
  </si>
  <si>
    <t>Auto+Hide+Values+Formulas=Sheet390,Sheet219,Sheet220+AutoSheet</t>
  </si>
  <si>
    <t>Auto+Hide+Values+Formulas=Sheet390,Sheet219,Sheet220+AutoSheet+FormulasOnly</t>
  </si>
  <si>
    <t>Auto+Hide+Values+Formulas=Sheet391,Sheet219,Sheet220+AutoSheet</t>
  </si>
  <si>
    <t>Auto+Hide+Values+Formulas=Sheet391,Sheet219,Sheet220+AutoSheet+FormulasOnly</t>
  </si>
  <si>
    <t>Auto+Hide+Values+Formulas=Sheet392,Sheet219,Sheet220+AutoSheet</t>
  </si>
  <si>
    <t>Auto+Hide+Values+Formulas=Sheet392,Sheet219,Sheet220+AutoSheet+FormulasOnly</t>
  </si>
  <si>
    <t>Auto+Hide+Values+Formulas=Sheet393,Sheet219,Sheet220+AutoSheet</t>
  </si>
  <si>
    <t>Auto+Hide+Values+Formulas=Sheet393,Sheet219,Sheet220+AutoSheet+FormulasOnly</t>
  </si>
  <si>
    <t>Auto+Hide+Values+Formulas=Sheet394,Sheet219,Sheet220+AutoSheet</t>
  </si>
  <si>
    <t>Auto+Hide+Values+Formulas=Sheet394,Sheet219,Sheet220+AutoSheet+FormulasOnly</t>
  </si>
  <si>
    <t>Auto+Hide+Values+Formulas=Sheet395,Sheet219,Sheet220+AutoSheet</t>
  </si>
  <si>
    <t>Auto+Hide+Values+Formulas=Sheet395,Sheet219,Sheet220+AutoSheet+FormulasOnly</t>
  </si>
  <si>
    <t>Auto+Hide+Values+Formulas=Sheet396,Sheet219,Sheet220+AutoSheet</t>
  </si>
  <si>
    <t>Auto+Hide+Values+Formulas=Sheet396,Sheet219,Sheet220+AutoSheet+FormulasOnly</t>
  </si>
  <si>
    <t>Auto+Hide+Values+Formulas=Sheet397,Sheet219,Sheet220+AutoSheet</t>
  </si>
  <si>
    <t>Auto+Hide+Values+Formulas=Sheet397,Sheet219,Sheet220+AutoSheet+FormulasOnly</t>
  </si>
  <si>
    <t>Auto+Hide+Values+Formulas=Sheet398,Sheet219,Sheet220+AutoSheet</t>
  </si>
  <si>
    <t>Auto+Hide+Values+Formulas=Sheet398,Sheet219,Sheet220+AutoSheet+FormulasOnly</t>
  </si>
  <si>
    <t>Auto+Hide+Values+Formulas=Sheet399,Sheet219,Sheet220+AutoSheet</t>
  </si>
  <si>
    <t>Auto+Hide+Values+Formulas=Sheet399,Sheet219,Sheet220+AutoSheet+FormulasOnly</t>
  </si>
  <si>
    <t>Auto+Hide+Values+Formulas=Sheet400,Sheet219,Sheet220+AutoSheet</t>
  </si>
  <si>
    <t>Auto+Hide+Values+Formulas=Sheet400,Sheet219,Sheet220+AutoSheet+FormulasOnly</t>
  </si>
  <si>
    <t>Auto+Hide+Values+Formulas=Sheet401,Sheet219,Sheet220+AutoSheet</t>
  </si>
  <si>
    <t>Auto+Hide+Values+Formulas=Sheet401,Sheet219,Sheet220+AutoSheet+FormulasOnly</t>
  </si>
  <si>
    <t>Auto+Hide+Values+Formulas=Sheet402,Sheet219,Sheet220+AutoSheet</t>
  </si>
  <si>
    <t>Auto+Hide+Values+Formulas=Sheet402,Sheet219,Sheet220+AutoSheet+FormulasOnly</t>
  </si>
  <si>
    <t>Auto+Hide+Values+Formulas=Sheet403,Sheet219,Sheet220+AutoSheet</t>
  </si>
  <si>
    <t>Auto+Hide+Values+Formulas=Sheet403,Sheet219,Sheet220+AutoSheet+FormulasOnly</t>
  </si>
  <si>
    <t>Auto+Hide+Values+Formulas=Sheet404,Sheet219,Sheet220+AutoSheet</t>
  </si>
  <si>
    <t>Auto+Hide+Values+Formulas=Sheet404,Sheet219,Sheet220+AutoSheet+FormulasOnly</t>
  </si>
  <si>
    <t>Auto+Hide+Values+Formulas=Sheet405,Sheet219,Sheet220+AutoSheet</t>
  </si>
  <si>
    <t>Auto+Hide+Values+Formulas=Sheet405,Sheet219,Sheet220+AutoSheet+FormulasOnly</t>
  </si>
  <si>
    <t>Auto+Hide+Values+Formulas=Sheet406,Sheet219,Sheet220+AutoSheet</t>
  </si>
  <si>
    <t>Auto+Hide+Values+Formulas=Sheet406,Sheet219,Sheet220+AutoSheet+FormulasOnly</t>
  </si>
  <si>
    <t>Auto+Hide+Values+Formulas=Sheet407,Sheet219,Sheet220+AutoSheet</t>
  </si>
  <si>
    <t>Auto+Hide+Values+Formulas=Sheet407,Sheet219,Sheet220+AutoSheet+FormulasOnly</t>
  </si>
  <si>
    <t>Auto+Hide+Values+Formulas=Sheet408,Sheet219,Sheet220+AutoSheet</t>
  </si>
  <si>
    <t>Auto+Hide+Values+Formulas=Sheet408,Sheet219,Sheet220+AutoSheet+FormulasOnly</t>
  </si>
  <si>
    <t>Auto+Hide+Values+Formulas=Sheet409,Sheet219,Sheet220+AutoSheet</t>
  </si>
  <si>
    <t>Auto+Hide+Values+Formulas=Sheet409,Sheet219,Sheet220+AutoSheet+FormulasOnly</t>
  </si>
  <si>
    <t>Auto+Hide+Values+Formulas=Sheet410,Sheet219,Sheet220+AutoSheet</t>
  </si>
  <si>
    <t>Auto+Hide+Values+Formulas=Sheet410,Sheet219,Sheet220+AutoSheet+FormulasOnly</t>
  </si>
  <si>
    <t>A108337|A108337|A108337</t>
  </si>
  <si>
    <t>ITPN-207470|ITPN-207471|ITPN-207470</t>
  </si>
  <si>
    <t>ITPN-207433|ITPN-207434|ITPN-207435|ITPN-207437|ITPN-207439|ITPN-207440|ITPN-207454|ITPN-207463|ITPN-207464|ITPN-207469|ITPN-207503|ITPN-207504|ITPN-207433</t>
  </si>
  <si>
    <t>A107954|A107954|A107954|A108008|A108008|A108008|A108230|A108259|A108259|A108336|A108418|A108435|A107954</t>
  </si>
  <si>
    <t>ITPN-207481|ITPN-207482|ITPN-207483|ITPN-207484|ITPN-207485|ITPN-207481</t>
  </si>
  <si>
    <t>A108357|A108357|A108357|A108358|A108358|A108357</t>
  </si>
  <si>
    <t>"Ceres NTFB Live","NTFB Live","5766","1","Invt. Pick","2","ITPN-207481"</t>
  </si>
  <si>
    <t>ITPN-207426|ITPN-207427|ITPN-207436|ITPN-207450|ITPN-207495|ITPN-207505|ITPN-207506|ITPN-207426</t>
  </si>
  <si>
    <t>A107826|A107826|A108003|A108192|A108400|A108471|A108471|A107826</t>
  </si>
  <si>
    <t>A108237|A108237|A108237|A108237</t>
  </si>
  <si>
    <t>ITPN-207456|ITPN-207457|ITPN-207460|ITPN-207456</t>
  </si>
  <si>
    <t>A108008 
 ITPN-207440</t>
  </si>
  <si>
    <t>A107954 
 ITPN-207433</t>
  </si>
  <si>
    <t>A108435 
 ITPN-207504</t>
  </si>
  <si>
    <t>A108259 
 ITPN-207463</t>
  </si>
  <si>
    <t>A108336 
 ITPN-207469</t>
  </si>
  <si>
    <t>A108418 
 ITPN-207503</t>
  </si>
  <si>
    <t>"Ceres NTFB Live","NTFB Live","5767","1","Invt. Pick","2","ITPN-207440","3","31000"</t>
  </si>
  <si>
    <t>A107954 
 ITPN-207434</t>
  </si>
  <si>
    <t>A108008 
 ITPN-207437</t>
  </si>
  <si>
    <t>A107954 
 ITPN-207435</t>
  </si>
  <si>
    <t>A108259 
 ITPN-207464</t>
  </si>
  <si>
    <t>A108008 
 ITPN-207439</t>
  </si>
  <si>
    <t>A108230 
 ITPN-207454</t>
  </si>
  <si>
    <t>"Ceres NTFB Live","NTFB Live","5767","1","Invt. Pick","2","ITPN-207434","3","50000"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</si>
</sst>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3F3F76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5"/>
      <color theme="1"/>
      <name val="Arial Black"/>
      <family val="2"/>
    </font>
    <font>
      <sz val="15"/>
      <color theme="1"/>
      <name val="Tahoma"/>
      <family val="2"/>
    </font>
    <font>
      <sz val="27"/>
      <color theme="1"/>
      <name val="Tahoma"/>
      <family val="2"/>
    </font>
    <font>
      <b/>
      <sz val="40"/>
      <color theme="1"/>
      <name val="Tahoma"/>
      <family val="2"/>
    </font>
    <font>
      <sz val="30"/>
      <color theme="1"/>
      <name val="Tahoma"/>
      <family val="2"/>
    </font>
    <font>
      <sz val="60"/>
      <color theme="1"/>
      <name val="Tahoma"/>
      <family val="2"/>
    </font>
    <font>
      <sz val="10"/>
      <color theme="1"/>
      <name val="Tahoma"/>
      <family val="2"/>
    </font>
    <font>
      <b/>
      <sz val="70"/>
      <color theme="1"/>
      <name val="Tahoma"/>
      <family val="2"/>
    </font>
    <font>
      <b/>
      <sz val="20"/>
      <color theme="1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7"/>
      <color theme="1"/>
      <name val="Tahoma"/>
      <family val="2"/>
    </font>
    <font>
      <sz val="11"/>
      <color theme="0"/>
      <name val="Calibri"/>
      <family val="2"/>
      <scheme val="minor"/>
    </font>
    <font>
      <sz val="11"/>
      <color rgb="FFC0C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4" fillId="3" borderId="13" applyNumberFormat="0" applyAlignment="0" applyProtection="0"/>
    <xf numFmtId="43" fontId="16" fillId="0" borderId="0" applyFont="0" applyFill="0" applyBorder="0" applyAlignment="0" applyProtection="0"/>
    <xf numFmtId="0" fontId="16" fillId="0" borderId="0"/>
    <xf numFmtId="0" fontId="4" fillId="3" borderId="13" applyNumberFormat="0" applyAlignment="0" applyProtection="0"/>
    <xf numFmtId="43" fontId="16" fillId="0" borderId="0" applyFont="0" applyFill="0" applyBorder="0" applyAlignment="0" applyProtection="0"/>
  </cellStyleXfs>
  <cellXfs count="19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Fill="1"/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3" borderId="13" xfId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0" xfId="0" applyFont="1" applyBorder="1" applyAlignment="1">
      <alignment wrapText="1"/>
    </xf>
    <xf numFmtId="0" fontId="9" fillId="0" borderId="3" xfId="0" applyFont="1" applyBorder="1" applyAlignment="1"/>
    <xf numFmtId="0" fontId="9" fillId="0" borderId="4" xfId="0" applyFont="1" applyBorder="1" applyAlignment="1"/>
    <xf numFmtId="0" fontId="10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4" fillId="3" borderId="13" xfId="1"/>
    <xf numFmtId="0" fontId="4" fillId="3" borderId="21" xfId="1" quotePrefix="1" applyBorder="1" applyAlignment="1">
      <alignment horizontal="center" vertical="center" wrapText="1"/>
    </xf>
    <xf numFmtId="164" fontId="5" fillId="0" borderId="0" xfId="2" applyNumberFormat="1" applyFont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top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0" xfId="0" applyFont="1" applyBorder="1" applyAlignment="1">
      <alignment vertical="center" wrapText="1"/>
    </xf>
    <xf numFmtId="0" fontId="5" fillId="0" borderId="0" xfId="0" applyFont="1" applyFill="1" applyAlignment="1">
      <alignment horizontal="right"/>
    </xf>
    <xf numFmtId="164" fontId="5" fillId="0" borderId="0" xfId="2" applyNumberFormat="1" applyFont="1" applyFill="1" applyAlignment="1">
      <alignment horizontal="center"/>
    </xf>
    <xf numFmtId="0" fontId="19" fillId="5" borderId="0" xfId="0" applyFont="1" applyFill="1"/>
    <xf numFmtId="0" fontId="20" fillId="0" borderId="0" xfId="0" applyFont="1"/>
    <xf numFmtId="14" fontId="0" fillId="0" borderId="0" xfId="0" quotePrefix="1" applyNumberFormat="1" applyAlignment="1">
      <alignment horizontal="center"/>
    </xf>
    <xf numFmtId="14" fontId="0" fillId="0" borderId="0" xfId="0" quotePrefix="1" applyNumberFormat="1"/>
    <xf numFmtId="0" fontId="21" fillId="0" borderId="0" xfId="0" applyFont="1"/>
    <xf numFmtId="0" fontId="22" fillId="5" borderId="0" xfId="0" applyFont="1" applyFill="1"/>
    <xf numFmtId="0" fontId="23" fillId="6" borderId="0" xfId="0" applyFont="1" applyFill="1" applyAlignment="1">
      <alignment horizontal="center"/>
    </xf>
    <xf numFmtId="0" fontId="23" fillId="6" borderId="22" xfId="0" applyFont="1" applyFill="1" applyBorder="1" applyAlignment="1">
      <alignment horizontal="center"/>
    </xf>
    <xf numFmtId="0" fontId="20" fillId="0" borderId="22" xfId="0" applyFont="1" applyBorder="1"/>
    <xf numFmtId="0" fontId="0" fillId="0" borderId="0" xfId="0" applyAlignment="1">
      <alignment wrapText="1"/>
    </xf>
    <xf numFmtId="0" fontId="24" fillId="0" borderId="22" xfId="0" applyFont="1" applyFill="1" applyBorder="1" applyAlignment="1">
      <alignment horizontal="center"/>
    </xf>
    <xf numFmtId="0" fontId="20" fillId="5" borderId="22" xfId="0" applyFont="1" applyFill="1" applyBorder="1"/>
    <xf numFmtId="0" fontId="24" fillId="0" borderId="22" xfId="0" applyFont="1" applyFill="1" applyBorder="1"/>
    <xf numFmtId="0" fontId="25" fillId="5" borderId="22" xfId="0" applyFont="1" applyFill="1" applyBorder="1" applyAlignment="1">
      <alignment horizontal="center"/>
    </xf>
    <xf numFmtId="0" fontId="0" fillId="5" borderId="22" xfId="0" applyFill="1" applyBorder="1"/>
    <xf numFmtId="0" fontId="21" fillId="0" borderId="23" xfId="0" applyFont="1" applyBorder="1"/>
    <xf numFmtId="0" fontId="20" fillId="0" borderId="24" xfId="0" applyFont="1" applyBorder="1"/>
    <xf numFmtId="0" fontId="21" fillId="0" borderId="24" xfId="0" applyFont="1" applyBorder="1"/>
    <xf numFmtId="0" fontId="0" fillId="0" borderId="24" xfId="0" applyBorder="1"/>
    <xf numFmtId="0" fontId="21" fillId="0" borderId="25" xfId="0" applyFont="1" applyBorder="1"/>
    <xf numFmtId="0" fontId="24" fillId="0" borderId="26" xfId="0" applyFont="1" applyFill="1" applyBorder="1" applyAlignment="1">
      <alignment horizontal="center"/>
    </xf>
    <xf numFmtId="0" fontId="0" fillId="0" borderId="22" xfId="0" applyBorder="1"/>
    <xf numFmtId="0" fontId="26" fillId="2" borderId="0" xfId="0" applyFont="1" applyFill="1"/>
    <xf numFmtId="0" fontId="0" fillId="0" borderId="0" xfId="0" quotePrefix="1"/>
    <xf numFmtId="0" fontId="0" fillId="0" borderId="0" xfId="0" quotePrefix="1" applyAlignment="1">
      <alignment wrapText="1"/>
    </xf>
    <xf numFmtId="0" fontId="1" fillId="0" borderId="0" xfId="3" applyFont="1"/>
    <xf numFmtId="0" fontId="1" fillId="0" borderId="0" xfId="3" applyFont="1" applyAlignment="1">
      <alignment wrapText="1"/>
    </xf>
    <xf numFmtId="0" fontId="1" fillId="0" borderId="0" xfId="3" applyFont="1" applyAlignment="1">
      <alignment vertical="center"/>
    </xf>
    <xf numFmtId="0" fontId="10" fillId="0" borderId="6" xfId="3" applyFont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0" fillId="0" borderId="0" xfId="3" applyFont="1" applyBorder="1" applyAlignment="1">
      <alignment vertical="center" wrapText="1"/>
    </xf>
    <xf numFmtId="0" fontId="10" fillId="0" borderId="5" xfId="3" applyFont="1" applyBorder="1" applyAlignment="1">
      <alignment vertical="center"/>
    </xf>
    <xf numFmtId="0" fontId="9" fillId="0" borderId="4" xfId="3" applyFont="1" applyBorder="1" applyAlignment="1"/>
    <xf numFmtId="0" fontId="9" fillId="0" borderId="3" xfId="3" applyFont="1" applyBorder="1" applyAlignment="1"/>
    <xf numFmtId="0" fontId="9" fillId="0" borderId="3" xfId="3" applyFont="1" applyBorder="1" applyAlignment="1">
      <alignment wrapText="1"/>
    </xf>
    <xf numFmtId="0" fontId="11" fillId="0" borderId="0" xfId="3" applyFont="1" applyBorder="1" applyAlignment="1">
      <alignment wrapText="1"/>
    </xf>
    <xf numFmtId="0" fontId="1" fillId="0" borderId="0" xfId="3" applyFont="1" applyAlignment="1">
      <alignment horizontal="center"/>
    </xf>
    <xf numFmtId="0" fontId="18" fillId="0" borderId="0" xfId="3" applyFont="1" applyAlignment="1">
      <alignment horizontal="center" vertical="center" wrapText="1"/>
    </xf>
    <xf numFmtId="0" fontId="5" fillId="0" borderId="14" xfId="3" applyFont="1" applyBorder="1" applyAlignment="1">
      <alignment vertical="center"/>
    </xf>
    <xf numFmtId="0" fontId="5" fillId="0" borderId="14" xfId="3" applyFont="1" applyBorder="1" applyAlignment="1">
      <alignment horizontal="center" vertical="center"/>
    </xf>
    <xf numFmtId="0" fontId="5" fillId="0" borderId="14" xfId="3" applyFont="1" applyBorder="1" applyAlignment="1">
      <alignment horizontal="center" vertical="top"/>
    </xf>
    <xf numFmtId="0" fontId="13" fillId="0" borderId="14" xfId="3" applyFont="1" applyBorder="1" applyAlignment="1">
      <alignment horizontal="center" vertical="center"/>
    </xf>
    <xf numFmtId="0" fontId="17" fillId="0" borderId="14" xfId="3" applyFont="1" applyBorder="1" applyAlignment="1">
      <alignment horizontal="center" vertical="center" wrapText="1"/>
    </xf>
    <xf numFmtId="0" fontId="1" fillId="2" borderId="0" xfId="3" applyFont="1" applyFill="1"/>
    <xf numFmtId="0" fontId="3" fillId="0" borderId="0" xfId="3" applyFont="1" applyAlignment="1">
      <alignment horizontal="center" vertical="center" wrapText="1"/>
    </xf>
    <xf numFmtId="0" fontId="6" fillId="4" borderId="14" xfId="3" applyFont="1" applyFill="1" applyBorder="1" applyAlignment="1">
      <alignment horizontal="center" vertical="center" wrapText="1"/>
    </xf>
    <xf numFmtId="0" fontId="5" fillId="4" borderId="14" xfId="3" applyFont="1" applyFill="1" applyBorder="1" applyAlignment="1">
      <alignment vertical="center" wrapText="1"/>
    </xf>
    <xf numFmtId="0" fontId="4" fillId="3" borderId="21" xfId="4" quotePrefix="1" applyBorder="1" applyAlignment="1">
      <alignment horizontal="center" vertical="center" wrapText="1"/>
    </xf>
    <xf numFmtId="0" fontId="1" fillId="0" borderId="0" xfId="3" applyFont="1" applyAlignment="1">
      <alignment vertical="center" wrapText="1"/>
    </xf>
    <xf numFmtId="0" fontId="5" fillId="0" borderId="0" xfId="3" applyFont="1" applyBorder="1" applyAlignment="1">
      <alignment wrapText="1"/>
    </xf>
    <xf numFmtId="14" fontId="1" fillId="0" borderId="0" xfId="3" applyNumberFormat="1" applyFont="1"/>
    <xf numFmtId="0" fontId="1" fillId="0" borderId="1" xfId="3" applyFont="1" applyBorder="1"/>
    <xf numFmtId="0" fontId="5" fillId="0" borderId="0" xfId="3" applyFont="1" applyAlignment="1">
      <alignment horizontal="right"/>
    </xf>
    <xf numFmtId="0" fontId="1" fillId="0" borderId="1" xfId="3" applyFont="1" applyBorder="1" applyAlignment="1">
      <alignment wrapText="1"/>
    </xf>
    <xf numFmtId="0" fontId="5" fillId="0" borderId="0" xfId="3" applyFont="1" applyAlignment="1">
      <alignment horizontal="center"/>
    </xf>
    <xf numFmtId="0" fontId="1" fillId="0" borderId="0" xfId="3" applyFont="1" applyAlignment="1">
      <alignment horizontal="right"/>
    </xf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5" fillId="0" borderId="0" xfId="5" applyNumberFormat="1" applyFont="1" applyFill="1" applyAlignment="1">
      <alignment horizontal="center"/>
    </xf>
    <xf numFmtId="0" fontId="5" fillId="0" borderId="0" xfId="3" applyFont="1" applyFill="1" applyAlignment="1">
      <alignment horizontal="right"/>
    </xf>
    <xf numFmtId="0" fontId="1" fillId="0" borderId="0" xfId="3" applyFont="1" applyFill="1"/>
    <xf numFmtId="0" fontId="5" fillId="0" borderId="0" xfId="3" applyFont="1" applyAlignment="1">
      <alignment horizontal="left" wrapText="1"/>
    </xf>
    <xf numFmtId="164" fontId="5" fillId="0" borderId="0" xfId="5" applyNumberFormat="1" applyFont="1" applyAlignment="1">
      <alignment horizontal="center"/>
    </xf>
    <xf numFmtId="0" fontId="6" fillId="0" borderId="0" xfId="3" applyFont="1" applyAlignment="1">
      <alignment horizontal="left"/>
    </xf>
    <xf numFmtId="0" fontId="16" fillId="0" borderId="0" xfId="3"/>
    <xf numFmtId="0" fontId="2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/>
    <xf numFmtId="0" fontId="4" fillId="3" borderId="13" xfId="4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14" fontId="11" fillId="0" borderId="16" xfId="0" applyNumberFormat="1" applyFont="1" applyBorder="1" applyAlignment="1">
      <alignment horizontal="center" wrapText="1"/>
    </xf>
    <xf numFmtId="0" fontId="11" fillId="0" borderId="16" xfId="0" applyFont="1" applyBorder="1" applyAlignment="1">
      <alignment horizontal="center" wrapText="1"/>
    </xf>
    <xf numFmtId="0" fontId="11" fillId="0" borderId="17" xfId="0" applyFont="1" applyBorder="1" applyAlignment="1">
      <alignment horizontal="center" wrapText="1"/>
    </xf>
    <xf numFmtId="0" fontId="8" fillId="0" borderId="18" xfId="0" applyFont="1" applyBorder="1" applyAlignment="1">
      <alignment horizontal="right" vertical="center"/>
    </xf>
    <xf numFmtId="0" fontId="8" fillId="0" borderId="19" xfId="0" applyFont="1" applyBorder="1" applyAlignment="1">
      <alignment horizontal="right" vertical="center"/>
    </xf>
    <xf numFmtId="14" fontId="11" fillId="0" borderId="19" xfId="0" applyNumberFormat="1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11" fillId="0" borderId="20" xfId="0" applyFont="1" applyBorder="1" applyAlignment="1">
      <alignment horizont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15" fillId="0" borderId="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8" fillId="0" borderId="18" xfId="3" applyFont="1" applyBorder="1" applyAlignment="1">
      <alignment horizontal="right" vertical="center"/>
    </xf>
    <xf numFmtId="0" fontId="8" fillId="0" borderId="19" xfId="3" applyFont="1" applyBorder="1" applyAlignment="1">
      <alignment horizontal="right" vertical="center"/>
    </xf>
    <xf numFmtId="14" fontId="11" fillId="0" borderId="19" xfId="3" applyNumberFormat="1" applyFont="1" applyBorder="1" applyAlignment="1">
      <alignment horizontal="center" wrapText="1"/>
    </xf>
    <xf numFmtId="0" fontId="11" fillId="0" borderId="19" xfId="3" applyFont="1" applyBorder="1" applyAlignment="1">
      <alignment horizontal="center" wrapText="1"/>
    </xf>
    <xf numFmtId="0" fontId="11" fillId="0" borderId="20" xfId="3" applyFont="1" applyBorder="1" applyAlignment="1">
      <alignment horizontal="center" wrapText="1"/>
    </xf>
    <xf numFmtId="0" fontId="12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0" fillId="0" borderId="10" xfId="3" applyFont="1" applyBorder="1" applyAlignment="1">
      <alignment horizontal="left" vertical="center"/>
    </xf>
    <xf numFmtId="0" fontId="10" fillId="0" borderId="11" xfId="3" applyFont="1" applyBorder="1" applyAlignment="1">
      <alignment horizontal="left" vertical="center"/>
    </xf>
    <xf numFmtId="0" fontId="10" fillId="0" borderId="12" xfId="3" applyFont="1" applyBorder="1" applyAlignment="1">
      <alignment horizontal="left" vertical="center"/>
    </xf>
    <xf numFmtId="0" fontId="9" fillId="0" borderId="2" xfId="3" applyFont="1" applyBorder="1" applyAlignment="1">
      <alignment horizontal="right"/>
    </xf>
    <xf numFmtId="0" fontId="9" fillId="0" borderId="3" xfId="3" applyFont="1" applyBorder="1" applyAlignment="1">
      <alignment horizontal="right"/>
    </xf>
    <xf numFmtId="0" fontId="15" fillId="0" borderId="0" xfId="3" applyFont="1" applyBorder="1" applyAlignment="1">
      <alignment horizontal="center" vertical="center"/>
    </xf>
    <xf numFmtId="0" fontId="15" fillId="0" borderId="6" xfId="3" applyFont="1" applyBorder="1" applyAlignment="1">
      <alignment horizontal="center" vertical="center"/>
    </xf>
    <xf numFmtId="0" fontId="8" fillId="0" borderId="15" xfId="3" applyFont="1" applyBorder="1" applyAlignment="1">
      <alignment horizontal="right" vertical="center"/>
    </xf>
    <xf numFmtId="0" fontId="8" fillId="0" borderId="16" xfId="3" applyFont="1" applyBorder="1" applyAlignment="1">
      <alignment horizontal="right" vertical="center"/>
    </xf>
    <xf numFmtId="14" fontId="11" fillId="0" borderId="16" xfId="3" applyNumberFormat="1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7" xfId="3" applyFont="1" applyBorder="1" applyAlignment="1">
      <alignment horizontal="center" wrapText="1"/>
    </xf>
    <xf numFmtId="0" fontId="7" fillId="0" borderId="10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7" fillId="0" borderId="12" xfId="3" applyFont="1" applyBorder="1" applyAlignment="1">
      <alignment horizontal="center" vertical="center"/>
    </xf>
    <xf numFmtId="0" fontId="5" fillId="0" borderId="2" xfId="3" applyFont="1" applyBorder="1" applyAlignment="1">
      <alignment horizontal="left" vertical="top" wrapText="1"/>
    </xf>
    <xf numFmtId="0" fontId="5" fillId="0" borderId="3" xfId="3" applyFont="1" applyBorder="1" applyAlignment="1">
      <alignment horizontal="left" vertical="top" wrapText="1"/>
    </xf>
    <xf numFmtId="0" fontId="5" fillId="0" borderId="4" xfId="3" applyFont="1" applyBorder="1" applyAlignment="1">
      <alignment horizontal="left" vertical="top" wrapText="1"/>
    </xf>
    <xf numFmtId="0" fontId="5" fillId="0" borderId="5" xfId="3" applyFont="1" applyBorder="1" applyAlignment="1">
      <alignment horizontal="left" vertical="top" wrapText="1"/>
    </xf>
    <xf numFmtId="0" fontId="5" fillId="0" borderId="0" xfId="3" applyFont="1" applyBorder="1" applyAlignment="1">
      <alignment horizontal="left" vertical="top" wrapText="1"/>
    </xf>
    <xf numFmtId="0" fontId="5" fillId="0" borderId="6" xfId="3" applyFont="1" applyBorder="1" applyAlignment="1">
      <alignment horizontal="left" vertical="top" wrapText="1"/>
    </xf>
    <xf numFmtId="0" fontId="5" fillId="0" borderId="7" xfId="3" applyFont="1" applyBorder="1" applyAlignment="1">
      <alignment horizontal="left" vertical="top" wrapText="1"/>
    </xf>
    <xf numFmtId="0" fontId="5" fillId="0" borderId="8" xfId="3" applyFont="1" applyBorder="1" applyAlignment="1">
      <alignment horizontal="left" vertical="top" wrapText="1"/>
    </xf>
    <xf numFmtId="0" fontId="5" fillId="0" borderId="9" xfId="3" applyFont="1" applyBorder="1" applyAlignment="1">
      <alignment horizontal="left" vertical="top" wrapText="1"/>
    </xf>
    <xf numFmtId="0" fontId="5" fillId="4" borderId="10" xfId="3" applyFont="1" applyFill="1" applyBorder="1" applyAlignment="1">
      <alignment horizontal="center"/>
    </xf>
    <xf numFmtId="0" fontId="5" fillId="4" borderId="11" xfId="3" applyFont="1" applyFill="1" applyBorder="1" applyAlignment="1">
      <alignment horizontal="center"/>
    </xf>
    <xf numFmtId="0" fontId="5" fillId="4" borderId="12" xfId="3" applyFont="1" applyFill="1" applyBorder="1" applyAlignment="1">
      <alignment horizontal="center"/>
    </xf>
    <xf numFmtId="0" fontId="11" fillId="0" borderId="16" xfId="3" applyFont="1" applyBorder="1" applyAlignment="1">
      <alignment horizontal="center"/>
    </xf>
    <xf numFmtId="0" fontId="11" fillId="0" borderId="17" xfId="3" applyFont="1" applyBorder="1" applyAlignment="1">
      <alignment horizontal="center"/>
    </xf>
  </cellXfs>
  <cellStyles count="6">
    <cellStyle name="Comma" xfId="2" builtinId="3"/>
    <cellStyle name="Comma 2" xfId="5"/>
    <cellStyle name="Input" xfId="1" builtinId="20"/>
    <cellStyle name="Input 2" xfId="4"/>
    <cellStyle name="Normal" xfId="0" builtinId="0"/>
    <cellStyle name="Normal 2" xfId="3"/>
  </cellStyles>
  <dxfs count="480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1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sharedStrings" Target="sharedStrings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theme" Target="theme/theme1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JetReports\Images\drilldown.bm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8630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8630</xdr:row>
      <xdr:rowOff>0</xdr:rowOff>
    </xdr:from>
    <xdr:ext cx="152381" cy="161905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517325"/>
          <a:ext cx="152381" cy="16190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182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183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185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186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187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188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183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184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201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182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183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186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187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181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186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187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182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183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8890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8890</xdr:row>
      <xdr:rowOff>0</xdr:rowOff>
    </xdr:from>
    <xdr:ext cx="152381" cy="161905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67200" y="1624612575"/>
          <a:ext cx="152381" cy="161905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183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184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181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182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182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183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194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195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181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184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185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206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207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108</xdr:row>
      <xdr:rowOff>0</xdr:rowOff>
    </xdr:from>
    <xdr:to>
      <xdr:col>4</xdr:col>
      <xdr:colOff>152381</xdr:colOff>
      <xdr:row>108</xdr:row>
      <xdr:rowOff>161905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772275" y="5038725"/>
          <a:ext cx="152381" cy="16190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179</xdr:row>
      <xdr:rowOff>0</xdr:rowOff>
    </xdr:from>
    <xdr:to>
      <xdr:col>4</xdr:col>
      <xdr:colOff>152381</xdr:colOff>
      <xdr:row>179</xdr:row>
      <xdr:rowOff>161905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772275" y="5038725"/>
          <a:ext cx="152381" cy="161905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180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778625" y="14739938"/>
          <a:ext cx="152381" cy="161905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114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113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125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178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179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111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115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185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186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122</xdr:row>
      <xdr:rowOff>0</xdr:rowOff>
    </xdr:from>
    <xdr:to>
      <xdr:col>4</xdr:col>
      <xdr:colOff>152381</xdr:colOff>
      <xdr:row>122</xdr:row>
      <xdr:rowOff>161905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772275" y="5038725"/>
          <a:ext cx="152381" cy="161905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122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124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123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130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135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130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123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185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186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123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146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123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123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122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122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125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123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192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193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124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127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123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137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4403050"/>
          <a:ext cx="152381" cy="161905"/>
        </a:xfrm>
        <a:prstGeom prst="rect">
          <a:avLst/>
        </a:prstGeom>
      </xdr:spPr>
    </xdr:pic>
    <xdr:clientData/>
  </xdr:one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108</xdr:row>
      <xdr:rowOff>0</xdr:rowOff>
    </xdr:from>
    <xdr:to>
      <xdr:col>4</xdr:col>
      <xdr:colOff>152381</xdr:colOff>
      <xdr:row>108</xdr:row>
      <xdr:rowOff>161905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772275" y="5038725"/>
          <a:ext cx="152381" cy="161905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7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7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7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114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190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191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8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8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8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8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8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113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8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8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125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8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8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8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198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604450"/>
          <a:ext cx="152381" cy="16190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199</xdr:row>
      <xdr:rowOff>0</xdr:rowOff>
    </xdr:from>
    <xdr:ext cx="152381" cy="16190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35804475"/>
          <a:ext cx="152381" cy="161905"/>
        </a:xfrm>
        <a:prstGeom prst="rect">
          <a:avLst/>
        </a:prstGeom>
      </xdr:spPr>
    </xdr:pic>
    <xdr:clientData/>
  </xdr:oneCellAnchor>
</xdr:wsDr>
</file>

<file path=xl/drawings/drawing9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108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9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9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111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9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9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9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115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9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110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9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drawings/drawing9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119</xdr:row>
      <xdr:rowOff>0</xdr:rowOff>
    </xdr:from>
    <xdr:ext cx="152381" cy="16190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743200" y="21602700"/>
          <a:ext cx="152381" cy="16190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B2" zoomScale="175" zoomScaleNormal="175" workbookViewId="0">
      <selection activeCell="C3" sqref="C3"/>
    </sheetView>
  </sheetViews>
  <sheetFormatPr defaultRowHeight="15" x14ac:dyDescent="0.25"/>
  <cols>
    <col min="1" max="1" width="20.85546875" hidden="1" customWidth="1"/>
    <col min="2" max="2" width="31.42578125" bestFit="1" customWidth="1"/>
    <col min="3" max="3" width="15.140625" bestFit="1" customWidth="1"/>
    <col min="11" max="11" width="18.28515625" customWidth="1"/>
  </cols>
  <sheetData>
    <row r="1" spans="1:11" hidden="1" x14ac:dyDescent="0.25">
      <c r="A1" t="s">
        <v>4</v>
      </c>
      <c r="B1" t="s">
        <v>1</v>
      </c>
      <c r="C1" t="s">
        <v>2</v>
      </c>
    </row>
    <row r="2" spans="1:11" x14ac:dyDescent="0.25">
      <c r="K2" s="9" t="s">
        <v>18</v>
      </c>
    </row>
    <row r="3" spans="1:11" x14ac:dyDescent="0.25">
      <c r="A3" t="s">
        <v>3</v>
      </c>
      <c r="B3" s="19" t="s">
        <v>0</v>
      </c>
      <c r="C3" s="18" t="str">
        <f>"8/30/2016"</f>
        <v>8/30/2016</v>
      </c>
      <c r="K3" s="9" t="s">
        <v>35</v>
      </c>
    </row>
    <row r="4" spans="1:11" x14ac:dyDescent="0.25">
      <c r="A4" t="s">
        <v>3</v>
      </c>
      <c r="B4" s="19" t="s">
        <v>13</v>
      </c>
      <c r="C4" s="19">
        <v>55</v>
      </c>
    </row>
    <row r="5" spans="1:11" x14ac:dyDescent="0.25">
      <c r="A5" t="s">
        <v>3</v>
      </c>
      <c r="B5" s="19" t="s">
        <v>14</v>
      </c>
      <c r="C5" s="19">
        <v>6</v>
      </c>
      <c r="G5" s="7"/>
      <c r="H5" s="7"/>
      <c r="I5" s="7"/>
    </row>
    <row r="6" spans="1:11" x14ac:dyDescent="0.25">
      <c r="A6" t="s">
        <v>3</v>
      </c>
      <c r="B6" s="19" t="s">
        <v>15</v>
      </c>
      <c r="C6" s="19">
        <v>10</v>
      </c>
      <c r="G6" s="1"/>
      <c r="H6" s="1"/>
      <c r="I6" s="1"/>
    </row>
    <row r="7" spans="1:11" x14ac:dyDescent="0.25">
      <c r="A7" t="s">
        <v>3</v>
      </c>
      <c r="B7" s="19" t="s">
        <v>16</v>
      </c>
      <c r="C7" s="19">
        <v>101</v>
      </c>
      <c r="G7" s="1"/>
      <c r="H7" s="1"/>
      <c r="I7" s="1"/>
    </row>
    <row r="8" spans="1:11" x14ac:dyDescent="0.25">
      <c r="A8" t="s">
        <v>3</v>
      </c>
      <c r="B8" s="19" t="s">
        <v>17</v>
      </c>
      <c r="C8" s="19" t="s">
        <v>18</v>
      </c>
      <c r="D8" s="9"/>
      <c r="G8" s="1"/>
      <c r="H8" s="1"/>
      <c r="I8" s="1"/>
    </row>
    <row r="9" spans="1:11" x14ac:dyDescent="0.25">
      <c r="A9" t="s">
        <v>3</v>
      </c>
      <c r="B9" s="19" t="s">
        <v>34</v>
      </c>
      <c r="C9" s="31" t="str">
        <f>""</f>
        <v/>
      </c>
      <c r="G9" s="1"/>
      <c r="H9" s="1"/>
      <c r="I9" s="1"/>
    </row>
    <row r="10" spans="1:11" x14ac:dyDescent="0.25">
      <c r="G10" s="1"/>
      <c r="H10" s="1"/>
      <c r="I10" s="1"/>
    </row>
    <row r="11" spans="1:11" x14ac:dyDescent="0.25">
      <c r="G11" s="1"/>
      <c r="H11" s="1"/>
      <c r="I11" s="1"/>
    </row>
    <row r="12" spans="1:11" x14ac:dyDescent="0.25">
      <c r="G12" s="1"/>
      <c r="H12" s="1"/>
      <c r="I12" s="1"/>
    </row>
    <row r="13" spans="1:11" x14ac:dyDescent="0.25">
      <c r="G13" s="1"/>
      <c r="H13" s="1"/>
      <c r="I13" s="1"/>
    </row>
    <row r="14" spans="1:11" x14ac:dyDescent="0.25">
      <c r="G14" s="1"/>
      <c r="H14" s="1"/>
      <c r="I14" s="1"/>
    </row>
    <row r="15" spans="1:11" x14ac:dyDescent="0.25">
      <c r="G15" s="1"/>
      <c r="H15" s="1"/>
      <c r="I15" s="1"/>
    </row>
    <row r="16" spans="1:11" x14ac:dyDescent="0.25">
      <c r="G16" s="1"/>
      <c r="H16" s="1"/>
      <c r="I16" s="1"/>
    </row>
    <row r="17" spans="7:9" x14ac:dyDescent="0.25">
      <c r="G17" s="1"/>
      <c r="H17" s="1"/>
      <c r="I17" s="1"/>
    </row>
    <row r="18" spans="7:9" x14ac:dyDescent="0.25">
      <c r="G18" s="1"/>
      <c r="H18" s="1"/>
      <c r="I18" s="1"/>
    </row>
    <row r="19" spans="7:9" x14ac:dyDescent="0.25">
      <c r="G19" s="1"/>
      <c r="H19" s="1"/>
      <c r="I19" s="1"/>
    </row>
    <row r="20" spans="7:9" x14ac:dyDescent="0.25">
      <c r="G20" s="1"/>
      <c r="H20" s="1"/>
      <c r="I20" s="1"/>
    </row>
    <row r="21" spans="7:9" x14ac:dyDescent="0.25">
      <c r="G21" s="1"/>
      <c r="H21" s="1"/>
      <c r="I21" s="1"/>
    </row>
    <row r="22" spans="7:9" x14ac:dyDescent="0.25">
      <c r="G22" s="1"/>
      <c r="H22" s="1"/>
      <c r="I22" s="1"/>
    </row>
    <row r="23" spans="7:9" x14ac:dyDescent="0.25">
      <c r="G23" s="1"/>
      <c r="H23" s="1"/>
      <c r="I23" s="1"/>
    </row>
    <row r="24" spans="7:9" x14ac:dyDescent="0.25">
      <c r="G24" s="1"/>
      <c r="H24" s="1"/>
      <c r="I24" s="1"/>
    </row>
    <row r="25" spans="7:9" x14ac:dyDescent="0.25">
      <c r="G25" s="1"/>
      <c r="H25" s="1"/>
      <c r="I25" s="1"/>
    </row>
    <row r="26" spans="7:9" x14ac:dyDescent="0.25">
      <c r="G26" s="1"/>
      <c r="H26" s="1"/>
      <c r="I26" s="1"/>
    </row>
    <row r="27" spans="7:9" x14ac:dyDescent="0.25">
      <c r="G27" s="1"/>
      <c r="H27" s="1"/>
      <c r="I27" s="1"/>
    </row>
    <row r="28" spans="7:9" x14ac:dyDescent="0.25">
      <c r="G28" s="1"/>
      <c r="H28" s="1"/>
      <c r="I28" s="1"/>
    </row>
    <row r="29" spans="7:9" x14ac:dyDescent="0.25">
      <c r="G29" s="1"/>
      <c r="H29" s="1"/>
      <c r="I29" s="1"/>
    </row>
    <row r="30" spans="7:9" x14ac:dyDescent="0.25">
      <c r="G30" s="1"/>
      <c r="H30" s="1"/>
      <c r="I30" s="1"/>
    </row>
    <row r="31" spans="7:9" x14ac:dyDescent="0.25">
      <c r="G31" s="1"/>
      <c r="H31" s="1"/>
      <c r="I31" s="1"/>
    </row>
    <row r="32" spans="7:9" x14ac:dyDescent="0.25">
      <c r="G32" s="1"/>
      <c r="H32" s="1"/>
      <c r="I32" s="1"/>
    </row>
    <row r="33" spans="7:9" x14ac:dyDescent="0.25">
      <c r="G33" s="1"/>
      <c r="H33" s="1"/>
      <c r="I33" s="1"/>
    </row>
    <row r="34" spans="7:9" x14ac:dyDescent="0.25">
      <c r="G34" s="1"/>
      <c r="H34" s="1"/>
      <c r="I34" s="1"/>
    </row>
    <row r="35" spans="7:9" x14ac:dyDescent="0.25">
      <c r="G35" s="1"/>
      <c r="H35" s="1"/>
      <c r="I35" s="1"/>
    </row>
    <row r="36" spans="7:9" x14ac:dyDescent="0.25">
      <c r="G36" s="1"/>
      <c r="H36" s="1"/>
      <c r="I36" s="1"/>
    </row>
    <row r="37" spans="7:9" x14ac:dyDescent="0.25">
      <c r="G37" s="1"/>
      <c r="H37" s="1"/>
      <c r="I37" s="1"/>
    </row>
    <row r="38" spans="7:9" x14ac:dyDescent="0.25">
      <c r="G38" s="1"/>
      <c r="H38" s="1"/>
      <c r="I38" s="1"/>
    </row>
  </sheetData>
  <dataValidations count="1">
    <dataValidation type="list" allowBlank="1" showInputMessage="1" showErrorMessage="1" sqref="C8">
      <formula1>$K$2:$K$3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1566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IF(F30="","HIDESHEET","")</f>
        <v/>
      </c>
      <c r="C2" s="74" t="s">
        <v>7</v>
      </c>
      <c r="D2" s="181" t="str">
        <f>IF(E30="",F5&amp;"  ("&amp;F4&amp;") - NO "&amp;C29,F5&amp;"  ("&amp;F4&amp;") - "&amp;C29&amp;" PICK LIST")</f>
        <v>WHITE ROCK CENTER HOPE/SEDEA  (002341P)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"002341P"</f>
        <v>002341P</v>
      </c>
      <c r="E4" s="101" t="s">
        <v>37</v>
      </c>
      <c r="F4" s="105" t="str">
        <f>C4</f>
        <v>002341P</v>
      </c>
      <c r="K4" s="101" t="s">
        <v>42</v>
      </c>
      <c r="L4" s="104"/>
      <c r="M4" s="111">
        <f>SUM(I30:I41)</f>
        <v>170</v>
      </c>
    </row>
    <row r="5" spans="1:26" ht="18" customHeight="1" x14ac:dyDescent="0.25">
      <c r="B5" s="76" t="str">
        <f t="shared" si="0"/>
        <v>Show</v>
      </c>
      <c r="C5" s="109" t="s">
        <v>1268</v>
      </c>
      <c r="E5" s="101" t="s">
        <v>36</v>
      </c>
      <c r="F5" s="112" t="s">
        <v>1196</v>
      </c>
      <c r="K5" s="101" t="s">
        <v>43</v>
      </c>
      <c r="L5" s="104"/>
      <c r="M5" s="111">
        <f>ROUND(SUM(O30:O41),0)</f>
        <v>3933</v>
      </c>
    </row>
    <row r="6" spans="1:26" ht="18" customHeight="1" x14ac:dyDescent="0.25">
      <c r="B6" s="76" t="str">
        <f t="shared" si="0"/>
        <v>Show</v>
      </c>
      <c r="C6" s="109" t="s">
        <v>1269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ROUND(COUNT(O30:O41),0)</f>
        <v>11</v>
      </c>
      <c r="P6" s="101"/>
      <c r="W6" s="101" t="str">
        <f>"ESTIMATED "&amp;O29&amp;"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E20</f>
        <v>A107826|A107826|A108003|A108192|A108400|A108471|A108471|A107826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F20</f>
        <v>ITPN-207426|ITPN-207427|ITPN-207436|ITPN-207450|ITPN-207495|ITPN-207505|ITPN-207506|ITPN-207426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B19</f>
        <v>Show</v>
      </c>
      <c r="C12" s="74" t="s">
        <v>1268</v>
      </c>
      <c r="E12" s="74" t="str">
        <f>"A107826"</f>
        <v>A107826</v>
      </c>
      <c r="F12" s="74" t="str">
        <f>"ITPN-207426"</f>
        <v>ITPN-207426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8" si="1">B20</f>
        <v>Show</v>
      </c>
      <c r="C13" s="74" t="str">
        <f>"""Ceres NTFB Live"",""NTFB Live"",""5766"",""1"",""Invt. Pick"",""2"",""ITPN-207427"""</f>
        <v>"Ceres NTFB Live","NTFB Live","5766","1","Invt. Pick","2","ITPN-207427"</v>
      </c>
      <c r="E13" s="74" t="str">
        <f>"A107826"</f>
        <v>A107826</v>
      </c>
      <c r="F13" s="74" t="str">
        <f>"ITPN-207427"</f>
        <v>ITPN-207427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Pick"",""2"",""ITPN-207436"""</f>
        <v>"Ceres NTFB Live","NTFB Live","5766","1","Invt. Pick","2","ITPN-207436"</v>
      </c>
      <c r="E14" s="74" t="str">
        <f>"A108003"</f>
        <v>A108003</v>
      </c>
      <c r="F14" s="74" t="str">
        <f>"ITPN-207436"</f>
        <v>ITPN-207436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173</v>
      </c>
      <c r="B15" s="76" t="str">
        <f t="shared" si="1"/>
        <v>Show</v>
      </c>
      <c r="C15" s="74" t="str">
        <f>"""Ceres NTFB Live"",""NTFB Live"",""5766"",""1"",""Invt. Pick"",""2"",""ITPN-207450"""</f>
        <v>"Ceres NTFB Live","NTFB Live","5766","1","Invt. Pick","2","ITPN-207450"</v>
      </c>
      <c r="E15" s="74" t="str">
        <f>"A108192"</f>
        <v>A108192</v>
      </c>
      <c r="F15" s="74" t="str">
        <f>"ITPN-207450"</f>
        <v>ITPN-207450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173</v>
      </c>
      <c r="B16" s="76" t="str">
        <f t="shared" si="1"/>
        <v>Show</v>
      </c>
      <c r="C16" s="74" t="str">
        <f>"""Ceres NTFB Live"",""NTFB Live"",""5766"",""1"",""Invt. Pick"",""2"",""ITPN-207495"""</f>
        <v>"Ceres NTFB Live","NTFB Live","5766","1","Invt. Pick","2","ITPN-207495"</v>
      </c>
      <c r="E16" s="74" t="str">
        <f>"A108400"</f>
        <v>A108400</v>
      </c>
      <c r="F16" s="74" t="str">
        <f>"ITPN-207495"</f>
        <v>ITPN-207495</v>
      </c>
      <c r="I16" s="98"/>
      <c r="J16" s="98"/>
      <c r="K16" s="98"/>
      <c r="L16" s="98"/>
      <c r="M16" s="98"/>
    </row>
    <row r="17" spans="1:17" ht="15.75" hidden="1" thickBot="1" x14ac:dyDescent="0.3">
      <c r="A17" s="74" t="s">
        <v>173</v>
      </c>
      <c r="B17" s="76" t="str">
        <f t="shared" si="1"/>
        <v>Show</v>
      </c>
      <c r="C17" s="74" t="str">
        <f>"""Ceres NTFB Live"",""NTFB Live"",""5766"",""1"",""Invt. Pick"",""2"",""ITPN-207505"""</f>
        <v>"Ceres NTFB Live","NTFB Live","5766","1","Invt. Pick","2","ITPN-207505"</v>
      </c>
      <c r="E17" s="74" t="str">
        <f>"A108471"</f>
        <v>A108471</v>
      </c>
      <c r="F17" s="74" t="str">
        <f>"ITPN-207505"</f>
        <v>ITPN-207505</v>
      </c>
      <c r="I17" s="98"/>
      <c r="J17" s="98"/>
      <c r="K17" s="98"/>
      <c r="L17" s="98"/>
      <c r="M17" s="98"/>
    </row>
    <row r="18" spans="1:17" ht="15.75" hidden="1" thickBot="1" x14ac:dyDescent="0.3">
      <c r="A18" s="74" t="s">
        <v>173</v>
      </c>
      <c r="B18" s="76" t="str">
        <f t="shared" si="1"/>
        <v>Show</v>
      </c>
      <c r="C18" s="74" t="str">
        <f>"""Ceres NTFB Live"",""NTFB Live"",""5766"",""1"",""Invt. Pick"",""2"",""ITPN-207506"""</f>
        <v>"Ceres NTFB Live","NTFB Live","5766","1","Invt. Pick","2","ITPN-207506"</v>
      </c>
      <c r="E18" s="74" t="str">
        <f>"A108471"</f>
        <v>A108471</v>
      </c>
      <c r="F18" s="74" t="str">
        <f>"ITPN-207506"</f>
        <v>ITPN-207506</v>
      </c>
      <c r="I18" s="98"/>
      <c r="J18" s="98"/>
      <c r="K18" s="98"/>
      <c r="L18" s="98"/>
      <c r="M18" s="98"/>
    </row>
    <row r="19" spans="1:17" ht="15.75" hidden="1" thickBot="1" x14ac:dyDescent="0.3">
      <c r="A19" s="74" t="s">
        <v>6</v>
      </c>
      <c r="B19" s="76" t="str">
        <f t="shared" ref="B19:B29" si="2">B20</f>
        <v>Show</v>
      </c>
      <c r="C19" s="74" t="s">
        <v>1270</v>
      </c>
      <c r="E19" s="74" t="str">
        <f>E12</f>
        <v>A107826</v>
      </c>
      <c r="F19" s="74" t="str">
        <f>F12</f>
        <v>ITPN-207426</v>
      </c>
      <c r="I19" s="98"/>
      <c r="J19" s="98"/>
      <c r="K19" s="98"/>
      <c r="L19" s="98"/>
      <c r="M19" s="98"/>
    </row>
    <row r="20" spans="1:17" ht="15.75" hidden="1" thickBot="1" x14ac:dyDescent="0.3">
      <c r="A20" s="74" t="s">
        <v>6</v>
      </c>
      <c r="B20" s="76" t="str">
        <f t="shared" si="2"/>
        <v>Show</v>
      </c>
      <c r="E20" s="92" t="s">
        <v>1800</v>
      </c>
      <c r="F20" s="92" t="s">
        <v>1799</v>
      </c>
      <c r="I20" s="98"/>
      <c r="J20" s="98"/>
      <c r="K20" s="98"/>
      <c r="L20" s="98"/>
      <c r="M20" s="98"/>
    </row>
    <row r="21" spans="1:17" x14ac:dyDescent="0.25">
      <c r="B21" s="76" t="str">
        <f t="shared" si="2"/>
        <v>Show</v>
      </c>
      <c r="E21" s="101" t="s">
        <v>20</v>
      </c>
      <c r="F21" s="184" t="s">
        <v>179</v>
      </c>
      <c r="G21" s="185"/>
      <c r="H21" s="185"/>
      <c r="I21" s="185"/>
      <c r="J21" s="185"/>
      <c r="K21" s="185"/>
      <c r="L21" s="185"/>
      <c r="M21" s="186"/>
    </row>
    <row r="22" spans="1:17" x14ac:dyDescent="0.25">
      <c r="B22" s="76" t="str">
        <f t="shared" si="2"/>
        <v>Show</v>
      </c>
      <c r="F22" s="187"/>
      <c r="G22" s="188"/>
      <c r="H22" s="188"/>
      <c r="I22" s="188"/>
      <c r="J22" s="188"/>
      <c r="K22" s="188"/>
      <c r="L22" s="188"/>
      <c r="M22" s="189"/>
    </row>
    <row r="23" spans="1:17" ht="15.75" thickBot="1" x14ac:dyDescent="0.3">
      <c r="B23" s="76" t="str">
        <f t="shared" si="2"/>
        <v>Show</v>
      </c>
      <c r="F23" s="190"/>
      <c r="G23" s="191"/>
      <c r="H23" s="191"/>
      <c r="I23" s="191"/>
      <c r="J23" s="191"/>
      <c r="K23" s="191"/>
      <c r="L23" s="191"/>
      <c r="M23" s="192"/>
    </row>
    <row r="24" spans="1:17" x14ac:dyDescent="0.25">
      <c r="B24" s="76" t="str">
        <f t="shared" si="2"/>
        <v>Show</v>
      </c>
    </row>
    <row r="25" spans="1:17" x14ac:dyDescent="0.25">
      <c r="B25" s="76" t="str">
        <f t="shared" si="2"/>
        <v>Show</v>
      </c>
      <c r="E25" s="101" t="s">
        <v>33</v>
      </c>
      <c r="F25" s="100"/>
      <c r="G25" s="102"/>
      <c r="H25" s="101" t="s">
        <v>53</v>
      </c>
      <c r="I25" s="100"/>
      <c r="J25" s="100"/>
      <c r="K25" s="100"/>
    </row>
    <row r="26" spans="1:17" x14ac:dyDescent="0.25">
      <c r="B26" s="76" t="str">
        <f t="shared" si="2"/>
        <v>Show</v>
      </c>
      <c r="E26" s="101"/>
    </row>
    <row r="27" spans="1:17" x14ac:dyDescent="0.25">
      <c r="B27" s="76" t="str">
        <f t="shared" si="2"/>
        <v>Show</v>
      </c>
      <c r="E27" s="101" t="s">
        <v>32</v>
      </c>
      <c r="F27" s="100"/>
      <c r="G27" s="102"/>
      <c r="H27" s="101" t="s">
        <v>54</v>
      </c>
      <c r="I27" s="100"/>
      <c r="J27" s="100"/>
      <c r="K27" s="100"/>
    </row>
    <row r="28" spans="1:17" x14ac:dyDescent="0.25">
      <c r="B28" s="76" t="str">
        <f t="shared" si="2"/>
        <v>Show</v>
      </c>
      <c r="C28" s="74" t="s">
        <v>52</v>
      </c>
      <c r="D28" s="74" t="s">
        <v>52</v>
      </c>
      <c r="F28" s="99"/>
      <c r="I28" s="98"/>
      <c r="J28" s="98"/>
      <c r="K28" s="98"/>
      <c r="L28" s="98"/>
      <c r="M28" s="98"/>
    </row>
    <row r="29" spans="1:17" s="75" customFormat="1" ht="15.95" customHeight="1" x14ac:dyDescent="0.25">
      <c r="A29" s="97"/>
      <c r="B29" s="76" t="str">
        <f t="shared" si="2"/>
        <v>Show</v>
      </c>
      <c r="C29" s="96" t="s">
        <v>79</v>
      </c>
      <c r="D29" s="94" t="s">
        <v>28</v>
      </c>
      <c r="E29" s="94" t="s">
        <v>26</v>
      </c>
      <c r="F29" s="94" t="s">
        <v>29</v>
      </c>
      <c r="G29" s="94" t="s">
        <v>57</v>
      </c>
      <c r="H29" s="94" t="s">
        <v>27</v>
      </c>
      <c r="I29" s="94" t="s">
        <v>25</v>
      </c>
      <c r="J29" s="94" t="s">
        <v>10</v>
      </c>
      <c r="K29" s="94" t="s">
        <v>24</v>
      </c>
      <c r="L29" s="95"/>
      <c r="M29" s="94" t="s">
        <v>31</v>
      </c>
      <c r="N29" s="93" t="s">
        <v>21</v>
      </c>
      <c r="O29" s="93" t="s">
        <v>22</v>
      </c>
      <c r="P29" s="93" t="s">
        <v>23</v>
      </c>
      <c r="Q29" s="93"/>
    </row>
    <row r="30" spans="1:17" ht="24.95" customHeight="1" x14ac:dyDescent="0.25">
      <c r="B30" s="92" t="str">
        <f>IF(I30="","Hide","Show")</f>
        <v>Show</v>
      </c>
      <c r="C30" s="74" t="s">
        <v>1276</v>
      </c>
      <c r="D30" s="89" t="str">
        <f>"02-09-01"</f>
        <v>02-09-01</v>
      </c>
      <c r="E30" s="89" t="str">
        <f>"P00195176"</f>
        <v>P00195176</v>
      </c>
      <c r="F30" s="89" t="str">
        <f>"1000003707"</f>
        <v>1000003707</v>
      </c>
      <c r="G30" s="91" t="s">
        <v>1271</v>
      </c>
      <c r="H30" s="90" t="str">
        <f>"PASTA, MACARONI &amp; CHEESE"</f>
        <v>PASTA, MACARONI &amp; CHEESE</v>
      </c>
      <c r="I30" s="89">
        <v>44</v>
      </c>
      <c r="J30" s="89" t="str">
        <f t="shared" ref="J30:J40" si="3">"CS"</f>
        <v>CS</v>
      </c>
      <c r="K30" s="88"/>
      <c r="L30" s="87"/>
      <c r="M30" s="87"/>
      <c r="N30" s="85" t="s">
        <v>179</v>
      </c>
      <c r="O30" s="85">
        <v>1100</v>
      </c>
      <c r="P30" s="85" t="str">
        <f t="shared" ref="P30:P39" si="4">"DRY"</f>
        <v>DRY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ref="B31:B40" si="5">IF(I31="","Hide","Show")</f>
        <v>Show</v>
      </c>
      <c r="C31" s="74" t="str">
        <f>"""Ceres NTFB Live"",""NTFB Live"",""5767"",""1"",""Invt. Pick"",""2"",""ITPN-207506"",""3"",""100000"""</f>
        <v>"Ceres NTFB Live","NTFB Live","5767","1","Invt. Pick","2","ITPN-207506","3","100000"</v>
      </c>
      <c r="D31" s="89" t="str">
        <f>"02-14-01"</f>
        <v>02-14-01</v>
      </c>
      <c r="E31" s="89" t="str">
        <f>"P00195175"</f>
        <v>P00195175</v>
      </c>
      <c r="F31" s="89" t="str">
        <f>"1000003707"</f>
        <v>1000003707</v>
      </c>
      <c r="G31" s="91" t="s">
        <v>1271</v>
      </c>
      <c r="H31" s="90" t="str">
        <f>"PASTA, MACARONI &amp; CHEESE"</f>
        <v>PASTA, MACARONI &amp; CHEESE</v>
      </c>
      <c r="I31" s="89">
        <v>44</v>
      </c>
      <c r="J31" s="89" t="str">
        <f t="shared" si="3"/>
        <v>CS</v>
      </c>
      <c r="K31" s="88"/>
      <c r="L31" s="87"/>
      <c r="M31" s="87"/>
      <c r="N31" s="85" t="s">
        <v>179</v>
      </c>
      <c r="O31" s="85">
        <v>1100</v>
      </c>
      <c r="P31" s="85" t="str">
        <f t="shared" si="4"/>
        <v>DRY</v>
      </c>
      <c r="Q31" s="86" t="s">
        <v>56</v>
      </c>
    </row>
    <row r="32" spans="1:17" ht="24.95" customHeight="1" x14ac:dyDescent="0.25">
      <c r="A32" s="74" t="s">
        <v>174</v>
      </c>
      <c r="B32" s="92" t="str">
        <f t="shared" si="5"/>
        <v>Show</v>
      </c>
      <c r="C32" s="74" t="str">
        <f>"""Ceres NTFB Live"",""NTFB Live"",""5767"",""1"",""Invt. Pick"",""2"",""ITPN-207436"",""3"",""40000"""</f>
        <v>"Ceres NTFB Live","NTFB Live","5767","1","Invt. Pick","2","ITPN-207436","3","40000"</v>
      </c>
      <c r="D32" s="89" t="str">
        <f>"02-20-01"</f>
        <v>02-20-01</v>
      </c>
      <c r="E32" s="89" t="str">
        <f>"P00195089"</f>
        <v>P00195089</v>
      </c>
      <c r="F32" s="89" t="str">
        <f>"1000003706"</f>
        <v>1000003706</v>
      </c>
      <c r="G32" s="91" t="s">
        <v>1272</v>
      </c>
      <c r="H32" s="90" t="str">
        <f>"PASTA, MEDIUM EGG NOODLES"</f>
        <v>PASTA, MEDIUM EGG NOODLES</v>
      </c>
      <c r="I32" s="89">
        <v>5</v>
      </c>
      <c r="J32" s="89" t="str">
        <f t="shared" si="3"/>
        <v>CS</v>
      </c>
      <c r="K32" s="88"/>
      <c r="L32" s="87"/>
      <c r="M32" s="87"/>
      <c r="N32" s="85" t="s">
        <v>179</v>
      </c>
      <c r="O32" s="85">
        <v>65</v>
      </c>
      <c r="P32" s="85" t="str">
        <f t="shared" si="4"/>
        <v>DRY</v>
      </c>
      <c r="Q32" s="86" t="s">
        <v>56</v>
      </c>
    </row>
    <row r="33" spans="1:17" ht="24.95" customHeight="1" x14ac:dyDescent="0.25">
      <c r="A33" s="74" t="s">
        <v>174</v>
      </c>
      <c r="B33" s="92" t="str">
        <f t="shared" si="5"/>
        <v>Show</v>
      </c>
      <c r="C33" s="74" t="str">
        <f>"""Ceres NTFB Live"",""NTFB Live"",""5767"",""1"",""Invt. Pick"",""2"",""ITPN-207506"",""3"",""60000"""</f>
        <v>"Ceres NTFB Live","NTFB Live","5767","1","Invt. Pick","2","ITPN-207506","3","60000"</v>
      </c>
      <c r="D33" s="89" t="str">
        <f>"02-35-01"</f>
        <v>02-35-01</v>
      </c>
      <c r="E33" s="89" t="str">
        <f>"P00194618"</f>
        <v>P00194618</v>
      </c>
      <c r="F33" s="89" t="str">
        <f>"1000001816"</f>
        <v>1000001816</v>
      </c>
      <c r="G33" s="91" t="s">
        <v>1271</v>
      </c>
      <c r="H33" s="90" t="str">
        <f>"LENTIL CASSEROLES, PACKAGES"</f>
        <v>LENTIL CASSEROLES, PACKAGES</v>
      </c>
      <c r="I33" s="89">
        <v>5</v>
      </c>
      <c r="J33" s="89" t="str">
        <f t="shared" si="3"/>
        <v>CS</v>
      </c>
      <c r="K33" s="88"/>
      <c r="L33" s="87"/>
      <c r="M33" s="87"/>
      <c r="N33" s="85" t="s">
        <v>179</v>
      </c>
      <c r="O33" s="85">
        <v>185</v>
      </c>
      <c r="P33" s="85" t="str">
        <f t="shared" si="4"/>
        <v>DRY</v>
      </c>
      <c r="Q33" s="86" t="s">
        <v>56</v>
      </c>
    </row>
    <row r="34" spans="1:17" ht="24.95" customHeight="1" x14ac:dyDescent="0.25">
      <c r="A34" s="74" t="s">
        <v>174</v>
      </c>
      <c r="B34" s="92" t="str">
        <f t="shared" si="5"/>
        <v>Show</v>
      </c>
      <c r="C34" s="74" t="str">
        <f>"""Ceres NTFB Live"",""NTFB Live"",""5767"",""1"",""Invt. Pick"",""2"",""ITPN-207506"",""3"",""120000"""</f>
        <v>"Ceres NTFB Live","NTFB Live","5767","1","Invt. Pick","2","ITPN-207506","3","120000"</v>
      </c>
      <c r="D34" s="89" t="str">
        <f>"03-05-01"</f>
        <v>03-05-01</v>
      </c>
      <c r="E34" s="89" t="str">
        <f>"P00181380"</f>
        <v>P00181380</v>
      </c>
      <c r="F34" s="89" t="str">
        <f>"1000003386"</f>
        <v>1000003386</v>
      </c>
      <c r="G34" s="91" t="s">
        <v>1271</v>
      </c>
      <c r="H34" s="90" t="str">
        <f>"PIMIENTOS, SLICED"</f>
        <v>PIMIENTOS, SLICED</v>
      </c>
      <c r="I34" s="89">
        <v>5</v>
      </c>
      <c r="J34" s="89" t="str">
        <f t="shared" si="3"/>
        <v>CS</v>
      </c>
      <c r="K34" s="88"/>
      <c r="L34" s="87"/>
      <c r="M34" s="87"/>
      <c r="N34" s="85" t="s">
        <v>179</v>
      </c>
      <c r="O34" s="85">
        <v>60</v>
      </c>
      <c r="P34" s="85" t="str">
        <f t="shared" si="4"/>
        <v>DRY</v>
      </c>
      <c r="Q34" s="86" t="s">
        <v>56</v>
      </c>
    </row>
    <row r="35" spans="1:17" ht="24.95" customHeight="1" x14ac:dyDescent="0.25">
      <c r="A35" s="74" t="s">
        <v>174</v>
      </c>
      <c r="B35" s="92" t="str">
        <f t="shared" si="5"/>
        <v>Show</v>
      </c>
      <c r="C35" s="74" t="str">
        <f>"""Ceres NTFB Live"",""NTFB Live"",""5767"",""1"",""Invt. Pick"",""2"",""ITPN-207436"",""3"",""20000"""</f>
        <v>"Ceres NTFB Live","NTFB Live","5767","1","Invt. Pick","2","ITPN-207436","3","20000"</v>
      </c>
      <c r="D35" s="89" t="str">
        <f>"04-15-01"</f>
        <v>04-15-01</v>
      </c>
      <c r="E35" s="89" t="str">
        <f>"P00194638"</f>
        <v>P00194638</v>
      </c>
      <c r="F35" s="89" t="str">
        <f>"1000000508"</f>
        <v>1000000508</v>
      </c>
      <c r="G35" s="91" t="s">
        <v>1272</v>
      </c>
      <c r="H35" s="90" t="str">
        <f>"MACARONI AND CHEESE, ASSORTED PACKAGES"</f>
        <v>MACARONI AND CHEESE, ASSORTED PACKAGES</v>
      </c>
      <c r="I35" s="89">
        <v>15</v>
      </c>
      <c r="J35" s="89" t="str">
        <f t="shared" si="3"/>
        <v>CS</v>
      </c>
      <c r="K35" s="88"/>
      <c r="L35" s="87"/>
      <c r="M35" s="87"/>
      <c r="N35" s="85" t="s">
        <v>179</v>
      </c>
      <c r="O35" s="85">
        <v>180</v>
      </c>
      <c r="P35" s="85" t="str">
        <f t="shared" si="4"/>
        <v>DRY</v>
      </c>
      <c r="Q35" s="86" t="s">
        <v>56</v>
      </c>
    </row>
    <row r="36" spans="1:17" ht="24.95" customHeight="1" x14ac:dyDescent="0.25">
      <c r="A36" s="74" t="s">
        <v>174</v>
      </c>
      <c r="B36" s="92" t="str">
        <f t="shared" si="5"/>
        <v>Show</v>
      </c>
      <c r="C36" s="74" t="str">
        <f>"""Ceres NTFB Live"",""NTFB Live"",""5767"",""1"",""Invt. Pick"",""2"",""ITPN-207426"",""3"",""20000"""</f>
        <v>"Ceres NTFB Live","NTFB Live","5767","1","Invt. Pick","2","ITPN-207426","3","20000"</v>
      </c>
      <c r="D36" s="89" t="str">
        <f>"04-27-01"</f>
        <v>04-27-01</v>
      </c>
      <c r="E36" s="89" t="str">
        <f>"P00193738"</f>
        <v>P00193738</v>
      </c>
      <c r="F36" s="89" t="str">
        <f>"1000002472"</f>
        <v>1000002472</v>
      </c>
      <c r="G36" s="91" t="s">
        <v>1273</v>
      </c>
      <c r="H36" s="90" t="str">
        <f>"SAUCE, TURKEY GRAVY, CAMPBELL"</f>
        <v>SAUCE, TURKEY GRAVY, CAMPBELL</v>
      </c>
      <c r="I36" s="89">
        <v>15</v>
      </c>
      <c r="J36" s="89" t="str">
        <f t="shared" si="3"/>
        <v>CS</v>
      </c>
      <c r="K36" s="88"/>
      <c r="L36" s="87"/>
      <c r="M36" s="87"/>
      <c r="N36" s="85" t="s">
        <v>179</v>
      </c>
      <c r="O36" s="85">
        <v>375</v>
      </c>
      <c r="P36" s="85" t="str">
        <f t="shared" si="4"/>
        <v>DRY</v>
      </c>
      <c r="Q36" s="86" t="s">
        <v>56</v>
      </c>
    </row>
    <row r="37" spans="1:17" ht="24.95" customHeight="1" x14ac:dyDescent="0.25">
      <c r="A37" s="74" t="s">
        <v>174</v>
      </c>
      <c r="B37" s="92" t="str">
        <f t="shared" si="5"/>
        <v>Show</v>
      </c>
      <c r="C37" s="74" t="str">
        <f>"""Ceres NTFB Live"",""NTFB Live"",""5767"",""1"",""Invt. Pick"",""2"",""ITPN-207450"",""3"",""20000"""</f>
        <v>"Ceres NTFB Live","NTFB Live","5767","1","Invt. Pick","2","ITPN-207450","3","20000"</v>
      </c>
      <c r="D37" s="89" t="str">
        <f>"04-27-01"</f>
        <v>04-27-01</v>
      </c>
      <c r="E37" s="89" t="str">
        <f>"P00193738"</f>
        <v>P00193738</v>
      </c>
      <c r="F37" s="89" t="str">
        <f>"1000002472"</f>
        <v>1000002472</v>
      </c>
      <c r="G37" s="91" t="s">
        <v>1274</v>
      </c>
      <c r="H37" s="90" t="str">
        <f>"SAUCE, TURKEY GRAVY, CAMPBELL"</f>
        <v>SAUCE, TURKEY GRAVY, CAMPBELL</v>
      </c>
      <c r="I37" s="89">
        <v>10</v>
      </c>
      <c r="J37" s="89" t="str">
        <f t="shared" si="3"/>
        <v>CS</v>
      </c>
      <c r="K37" s="88"/>
      <c r="L37" s="87"/>
      <c r="M37" s="87"/>
      <c r="N37" s="85" t="s">
        <v>179</v>
      </c>
      <c r="O37" s="85">
        <v>250</v>
      </c>
      <c r="P37" s="85" t="str">
        <f t="shared" si="4"/>
        <v>DRY</v>
      </c>
      <c r="Q37" s="86" t="s">
        <v>56</v>
      </c>
    </row>
    <row r="38" spans="1:17" ht="24.95" customHeight="1" x14ac:dyDescent="0.25">
      <c r="A38" s="74" t="s">
        <v>174</v>
      </c>
      <c r="B38" s="92" t="str">
        <f t="shared" si="5"/>
        <v>Show</v>
      </c>
      <c r="C38" s="74" t="str">
        <f>"""Ceres NTFB Live"",""NTFB Live"",""5767"",""1"",""Invt. Pick"",""2"",""ITPN-207426"",""3"",""40000"""</f>
        <v>"Ceres NTFB Live","NTFB Live","5767","1","Invt. Pick","2","ITPN-207426","3","40000"</v>
      </c>
      <c r="D38" s="89" t="str">
        <f>"04-29-01"</f>
        <v>04-29-01</v>
      </c>
      <c r="E38" s="89" t="str">
        <f>"P00193737"</f>
        <v>P00193737</v>
      </c>
      <c r="F38" s="89" t="str">
        <f>"1000000814"</f>
        <v>1000000814</v>
      </c>
      <c r="G38" s="91" t="s">
        <v>1273</v>
      </c>
      <c r="H38" s="90" t="str">
        <f>"SOUP, TOMATO"</f>
        <v>SOUP, TOMATO</v>
      </c>
      <c r="I38" s="89">
        <v>10</v>
      </c>
      <c r="J38" s="89" t="str">
        <f t="shared" si="3"/>
        <v>CS</v>
      </c>
      <c r="K38" s="88"/>
      <c r="L38" s="87"/>
      <c r="M38" s="87"/>
      <c r="N38" s="85" t="s">
        <v>179</v>
      </c>
      <c r="O38" s="85">
        <v>180</v>
      </c>
      <c r="P38" s="85" t="str">
        <f t="shared" si="4"/>
        <v>DRY</v>
      </c>
      <c r="Q38" s="86" t="s">
        <v>56</v>
      </c>
    </row>
    <row r="39" spans="1:17" ht="24.95" customHeight="1" x14ac:dyDescent="0.25">
      <c r="A39" s="74" t="s">
        <v>174</v>
      </c>
      <c r="B39" s="92" t="str">
        <f t="shared" si="5"/>
        <v>Show</v>
      </c>
      <c r="C39" s="74" t="str">
        <f>"""Ceres NTFB Live"",""NTFB Live"",""5767"",""1"",""Invt. Pick"",""2"",""ITPN-207506"",""3"",""51000"""</f>
        <v>"Ceres NTFB Live","NTFB Live","5767","1","Invt. Pick","2","ITPN-207506","3","51000"</v>
      </c>
      <c r="D39" s="89" t="str">
        <f>"06-02-01"</f>
        <v>06-02-01</v>
      </c>
      <c r="E39" s="89" t="str">
        <f>"P00195578"</f>
        <v>P00195578</v>
      </c>
      <c r="F39" s="89" t="str">
        <f>"1000003716"</f>
        <v>1000003716</v>
      </c>
      <c r="G39" s="91" t="s">
        <v>1271</v>
      </c>
      <c r="H39" s="90" t="str">
        <f>"CEREAL, HONEY NUT CHERRIOS"</f>
        <v>CEREAL, HONEY NUT CHERRIOS</v>
      </c>
      <c r="I39" s="89">
        <v>2</v>
      </c>
      <c r="J39" s="89" t="str">
        <f t="shared" si="3"/>
        <v>CS</v>
      </c>
      <c r="K39" s="88"/>
      <c r="L39" s="87"/>
      <c r="M39" s="87"/>
      <c r="N39" s="85" t="s">
        <v>179</v>
      </c>
      <c r="O39" s="85">
        <v>18</v>
      </c>
      <c r="P39" s="85" t="str">
        <f t="shared" si="4"/>
        <v>DRY</v>
      </c>
      <c r="Q39" s="86" t="s">
        <v>56</v>
      </c>
    </row>
    <row r="40" spans="1:17" ht="24.95" customHeight="1" x14ac:dyDescent="0.25">
      <c r="A40" s="74" t="s">
        <v>174</v>
      </c>
      <c r="B40" s="92" t="str">
        <f t="shared" si="5"/>
        <v>Show</v>
      </c>
      <c r="C40" s="74" t="str">
        <f>"""Ceres NTFB Live"",""NTFB Live"",""5767"",""1"",""Invt. Pick"",""2"",""ITPN-207495"",""3"",""20000"""</f>
        <v>"Ceres NTFB Live","NTFB Live","5767","1","Invt. Pick","2","ITPN-207495","3","20000"</v>
      </c>
      <c r="D40" s="89" t="str">
        <f>"33-01-01"</f>
        <v>33-01-01</v>
      </c>
      <c r="E40" s="89" t="str">
        <f>"P00195102"</f>
        <v>P00195102</v>
      </c>
      <c r="F40" s="89" t="str">
        <f>"1000002518"</f>
        <v>1000002518</v>
      </c>
      <c r="G40" s="91" t="s">
        <v>1275</v>
      </c>
      <c r="H40" s="90" t="str">
        <f>"USDA CORN, KERNAL, CANNED"</f>
        <v>USDA CORN, KERNAL, CANNED</v>
      </c>
      <c r="I40" s="89">
        <v>15</v>
      </c>
      <c r="J40" s="89" t="str">
        <f t="shared" si="3"/>
        <v>CS</v>
      </c>
      <c r="K40" s="88"/>
      <c r="L40" s="87"/>
      <c r="M40" s="87"/>
      <c r="N40" s="85" t="s">
        <v>179</v>
      </c>
      <c r="O40" s="85">
        <v>420</v>
      </c>
      <c r="P40" s="85" t="str">
        <f>"DRYUSDA"</f>
        <v>DRYUSDA</v>
      </c>
      <c r="Q40" s="86" t="s">
        <v>56</v>
      </c>
    </row>
    <row r="41" spans="1:17" ht="15.75" thickBot="1" x14ac:dyDescent="0.3">
      <c r="B41" s="74" t="str">
        <f>B30</f>
        <v>Show</v>
      </c>
      <c r="H41" s="85"/>
      <c r="I41" s="85"/>
    </row>
    <row r="42" spans="1:17" ht="15.75" thickBot="1" x14ac:dyDescent="0.3">
      <c r="B42" s="74" t="str">
        <f>+B41</f>
        <v>Show</v>
      </c>
      <c r="D42" s="193" t="str">
        <f>+"END OF "&amp;D2</f>
        <v>END OF WHITE ROCK CENTER HOPE/SEDEA  (002341P) - DRY|DRYUSDA|MCTF PICK LIST</v>
      </c>
      <c r="E42" s="194"/>
      <c r="F42" s="194"/>
      <c r="G42" s="194"/>
      <c r="H42" s="194"/>
      <c r="I42" s="194"/>
      <c r="J42" s="194"/>
      <c r="K42" s="194"/>
      <c r="L42" s="194"/>
      <c r="M42" s="195"/>
    </row>
    <row r="43" spans="1:17" ht="15.75" thickBot="1" x14ac:dyDescent="0.3"/>
    <row r="44" spans="1:17" ht="80.099999999999994" customHeight="1" thickBot="1" x14ac:dyDescent="0.3">
      <c r="A44" s="76" t="s">
        <v>30</v>
      </c>
      <c r="D44" s="166" t="str">
        <f>+F6</f>
        <v>PICKUP</v>
      </c>
      <c r="E44" s="167"/>
      <c r="F44" s="167"/>
      <c r="G44" s="167"/>
      <c r="H44" s="167"/>
      <c r="I44" s="167"/>
      <c r="J44" s="167"/>
      <c r="K44" s="167"/>
      <c r="L44" s="167"/>
      <c r="M44" s="168"/>
    </row>
    <row r="45" spans="1:17" ht="36.75" x14ac:dyDescent="0.45">
      <c r="A45" s="76" t="s">
        <v>30</v>
      </c>
      <c r="D45" s="176" t="s">
        <v>12</v>
      </c>
      <c r="E45" s="177"/>
      <c r="F45" s="196" t="str">
        <f>+F4</f>
        <v>002341P</v>
      </c>
      <c r="G45" s="196"/>
      <c r="H45" s="196"/>
      <c r="I45" s="196"/>
      <c r="J45" s="196"/>
      <c r="K45" s="196"/>
      <c r="L45" s="196"/>
      <c r="M45" s="197"/>
    </row>
    <row r="46" spans="1:17" ht="37.5" customHeight="1" thickBot="1" x14ac:dyDescent="0.5">
      <c r="A46" s="76" t="s">
        <v>30</v>
      </c>
      <c r="D46" s="158" t="s">
        <v>5</v>
      </c>
      <c r="E46" s="159"/>
      <c r="F46" s="161" t="str">
        <f>+F5</f>
        <v>WHITE ROCK CENTER HOPE/SEDEA</v>
      </c>
      <c r="G46" s="161"/>
      <c r="H46" s="161"/>
      <c r="I46" s="161"/>
      <c r="J46" s="161"/>
      <c r="K46" s="161"/>
      <c r="L46" s="161"/>
      <c r="M46" s="162"/>
      <c r="N46" s="84"/>
      <c r="O46" s="84"/>
      <c r="P46" s="84"/>
    </row>
    <row r="47" spans="1:17" ht="33.75" hidden="1" thickBot="1" x14ac:dyDescent="0.45">
      <c r="A47" s="76" t="s">
        <v>19</v>
      </c>
      <c r="D47" s="172" t="s">
        <v>49</v>
      </c>
      <c r="E47" s="173"/>
      <c r="F47" s="82"/>
      <c r="G47" s="83"/>
      <c r="H47" s="82"/>
      <c r="I47" s="82"/>
      <c r="J47" s="82"/>
      <c r="K47" s="82"/>
      <c r="L47" s="82"/>
      <c r="M47" s="81"/>
    </row>
    <row r="48" spans="1:17" ht="30" hidden="1" customHeight="1" x14ac:dyDescent="0.25">
      <c r="A48" s="76" t="s">
        <v>19</v>
      </c>
      <c r="D48" s="80"/>
      <c r="E48" s="78"/>
      <c r="F48" s="174" t="s">
        <v>1270</v>
      </c>
      <c r="G48" s="174"/>
      <c r="H48" s="174"/>
      <c r="I48" s="174"/>
      <c r="J48" s="174"/>
      <c r="K48" s="174"/>
      <c r="L48" s="174"/>
      <c r="M48" s="175"/>
    </row>
    <row r="49" spans="1:13" ht="30" hidden="1" customHeight="1" x14ac:dyDescent="0.25">
      <c r="A49" s="76" t="s">
        <v>184</v>
      </c>
      <c r="D49" s="80"/>
      <c r="E49" s="78"/>
      <c r="F49" s="174" t="str">
        <f>"A108003"</f>
        <v>A108003</v>
      </c>
      <c r="G49" s="174"/>
      <c r="H49" s="174"/>
      <c r="I49" s="174"/>
      <c r="J49" s="174"/>
      <c r="K49" s="174"/>
      <c r="L49" s="174"/>
      <c r="M49" s="175"/>
    </row>
    <row r="50" spans="1:13" ht="30" hidden="1" customHeight="1" x14ac:dyDescent="0.25">
      <c r="A50" s="76" t="s">
        <v>184</v>
      </c>
      <c r="D50" s="80"/>
      <c r="E50" s="78"/>
      <c r="F50" s="174" t="str">
        <f>"A108192"</f>
        <v>A108192</v>
      </c>
      <c r="G50" s="174"/>
      <c r="H50" s="174"/>
      <c r="I50" s="174"/>
      <c r="J50" s="174"/>
      <c r="K50" s="174"/>
      <c r="L50" s="174"/>
      <c r="M50" s="175"/>
    </row>
    <row r="51" spans="1:13" ht="30" hidden="1" customHeight="1" x14ac:dyDescent="0.25">
      <c r="A51" s="76" t="s">
        <v>184</v>
      </c>
      <c r="D51" s="80"/>
      <c r="E51" s="78"/>
      <c r="F51" s="174" t="str">
        <f>"A108400"</f>
        <v>A108400</v>
      </c>
      <c r="G51" s="174"/>
      <c r="H51" s="174"/>
      <c r="I51" s="174"/>
      <c r="J51" s="174"/>
      <c r="K51" s="174"/>
      <c r="L51" s="174"/>
      <c r="M51" s="175"/>
    </row>
    <row r="52" spans="1:13" ht="30" hidden="1" customHeight="1" x14ac:dyDescent="0.25">
      <c r="A52" s="76" t="s">
        <v>184</v>
      </c>
      <c r="D52" s="80"/>
      <c r="E52" s="78"/>
      <c r="F52" s="174" t="str">
        <f>"A108471"</f>
        <v>A108471</v>
      </c>
      <c r="G52" s="174"/>
      <c r="H52" s="174"/>
      <c r="I52" s="174"/>
      <c r="J52" s="174"/>
      <c r="K52" s="174"/>
      <c r="L52" s="174"/>
      <c r="M52" s="175"/>
    </row>
    <row r="53" spans="1:13" ht="15.75" hidden="1" customHeight="1" thickBot="1" x14ac:dyDescent="0.3">
      <c r="A53" s="76" t="s">
        <v>19</v>
      </c>
      <c r="D53" s="80"/>
      <c r="E53" s="78"/>
      <c r="F53" s="78"/>
      <c r="G53" s="79"/>
      <c r="H53" s="78"/>
      <c r="I53" s="78"/>
      <c r="J53" s="78"/>
      <c r="K53" s="78"/>
      <c r="L53" s="78"/>
      <c r="M53" s="77"/>
    </row>
    <row r="54" spans="1:13" ht="36.75" x14ac:dyDescent="0.45">
      <c r="A54" s="76" t="s">
        <v>30</v>
      </c>
      <c r="D54" s="176" t="s">
        <v>50</v>
      </c>
      <c r="E54" s="177"/>
      <c r="F54" s="178">
        <f>+F7</f>
        <v>42612</v>
      </c>
      <c r="G54" s="179"/>
      <c r="H54" s="179"/>
      <c r="I54" s="179"/>
      <c r="J54" s="179"/>
      <c r="K54" s="179"/>
      <c r="L54" s="179"/>
      <c r="M54" s="180"/>
    </row>
    <row r="55" spans="1:13" ht="37.5" thickBot="1" x14ac:dyDescent="0.5">
      <c r="A55" s="76" t="s">
        <v>30</v>
      </c>
      <c r="D55" s="158" t="s">
        <v>32</v>
      </c>
      <c r="E55" s="159"/>
      <c r="F55" s="160"/>
      <c r="G55" s="161"/>
      <c r="H55" s="161"/>
      <c r="I55" s="161"/>
      <c r="J55" s="161"/>
      <c r="K55" s="161"/>
      <c r="L55" s="161"/>
      <c r="M55" s="162"/>
    </row>
    <row r="56" spans="1:13" ht="80.099999999999994" customHeight="1" thickBot="1" x14ac:dyDescent="0.3">
      <c r="A56" s="76" t="s">
        <v>30</v>
      </c>
      <c r="D56" s="163" t="s">
        <v>51</v>
      </c>
      <c r="E56" s="164"/>
      <c r="F56" s="164"/>
      <c r="G56" s="164"/>
      <c r="H56" s="164"/>
      <c r="I56" s="164"/>
      <c r="J56" s="164"/>
      <c r="K56" s="164"/>
      <c r="L56" s="164"/>
      <c r="M56" s="165"/>
    </row>
    <row r="57" spans="1:13" ht="90" customHeight="1" thickBot="1" x14ac:dyDescent="0.3">
      <c r="A57" s="76" t="s">
        <v>30</v>
      </c>
      <c r="D57" s="166" t="str">
        <f>IF(F6="DELIVER",G6,F6)</f>
        <v>PICKUP</v>
      </c>
      <c r="E57" s="167"/>
      <c r="F57" s="167"/>
      <c r="G57" s="167"/>
      <c r="H57" s="167"/>
      <c r="I57" s="167"/>
      <c r="J57" s="167"/>
      <c r="K57" s="167"/>
      <c r="L57" s="167"/>
      <c r="M57" s="168"/>
    </row>
    <row r="58" spans="1:13" ht="60" customHeight="1" thickBot="1" x14ac:dyDescent="0.3">
      <c r="A58" s="76" t="s">
        <v>30</v>
      </c>
      <c r="D58" s="169" t="s">
        <v>55</v>
      </c>
      <c r="E58" s="170"/>
      <c r="F58" s="170"/>
      <c r="G58" s="170"/>
      <c r="H58" s="170"/>
      <c r="I58" s="170"/>
      <c r="J58" s="170"/>
      <c r="K58" s="170"/>
      <c r="L58" s="170"/>
      <c r="M58" s="171"/>
    </row>
  </sheetData>
  <mergeCells count="21">
    <mergeCell ref="D54:E54"/>
    <mergeCell ref="F54:M54"/>
    <mergeCell ref="D2:M2"/>
    <mergeCell ref="F21:M23"/>
    <mergeCell ref="D42:M42"/>
    <mergeCell ref="D44:M44"/>
    <mergeCell ref="D45:E45"/>
    <mergeCell ref="F45:M45"/>
    <mergeCell ref="F49:M49"/>
    <mergeCell ref="F50:M50"/>
    <mergeCell ref="F51:M51"/>
    <mergeCell ref="F52:M52"/>
    <mergeCell ref="D46:E46"/>
    <mergeCell ref="F46:M46"/>
    <mergeCell ref="D47:E47"/>
    <mergeCell ref="F48:M48"/>
    <mergeCell ref="D55:E55"/>
    <mergeCell ref="F55:M55"/>
    <mergeCell ref="D56:M56"/>
    <mergeCell ref="D57:M57"/>
    <mergeCell ref="D58:M58"/>
  </mergeCells>
  <conditionalFormatting sqref="F6">
    <cfRule type="cellIs" dxfId="449" priority="5" operator="equal">
      <formula>"DELIVER"</formula>
    </cfRule>
  </conditionalFormatting>
  <conditionalFormatting sqref="D44">
    <cfRule type="cellIs" dxfId="448" priority="4" operator="equal">
      <formula>"DELIVER"</formula>
    </cfRule>
  </conditionalFormatting>
  <conditionalFormatting sqref="D2:M2">
    <cfRule type="expression" dxfId="447" priority="3">
      <formula>$F$6="DELIVER"</formula>
    </cfRule>
  </conditionalFormatting>
  <conditionalFormatting sqref="G6">
    <cfRule type="expression" dxfId="446" priority="2">
      <formula>$F$6="DELIVER"</formula>
    </cfRule>
  </conditionalFormatting>
  <conditionalFormatting sqref="D57">
    <cfRule type="expression" dxfId="44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42" max="16383" man="1"/>
  </rowBreaks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/>
  </sheetViews>
  <sheetFormatPr defaultRowHeight="15" x14ac:dyDescent="0.25"/>
  <sheetData>
    <row r="1" spans="1:26" x14ac:dyDescent="0.25">
      <c r="A1" s="72" t="s">
        <v>1543</v>
      </c>
      <c r="B1" s="72" t="s">
        <v>11</v>
      </c>
      <c r="C1" s="72" t="s">
        <v>6</v>
      </c>
      <c r="E1" s="72" t="s">
        <v>6</v>
      </c>
      <c r="F1" s="72" t="s">
        <v>19</v>
      </c>
      <c r="G1" s="72" t="s">
        <v>6</v>
      </c>
      <c r="H1" s="72" t="s">
        <v>30</v>
      </c>
      <c r="I1" s="72" t="s">
        <v>30</v>
      </c>
      <c r="J1" s="72" t="s">
        <v>6</v>
      </c>
      <c r="K1" s="72" t="s">
        <v>19</v>
      </c>
      <c r="L1" s="72" t="s">
        <v>19</v>
      </c>
      <c r="M1" s="72" t="s">
        <v>6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30</v>
      </c>
      <c r="T1" s="72" t="s">
        <v>30</v>
      </c>
      <c r="U1" s="72" t="s">
        <v>30</v>
      </c>
      <c r="V1" s="72" t="s">
        <v>30</v>
      </c>
      <c r="W1" s="72" t="s">
        <v>30</v>
      </c>
      <c r="X1" s="72" t="s">
        <v>30</v>
      </c>
      <c r="Y1" s="72" t="s">
        <v>30</v>
      </c>
      <c r="Z1" s="72" t="s">
        <v>30</v>
      </c>
    </row>
    <row r="2" spans="1:26" x14ac:dyDescent="0.25">
      <c r="A2" s="72" t="s">
        <v>6</v>
      </c>
      <c r="B2" s="72" t="s">
        <v>62</v>
      </c>
      <c r="C2" s="72" t="s">
        <v>80</v>
      </c>
    </row>
    <row r="3" spans="1:26" x14ac:dyDescent="0.25">
      <c r="A3" s="72" t="s">
        <v>6</v>
      </c>
      <c r="B3" s="72" t="s">
        <v>63</v>
      </c>
      <c r="C3" s="72" t="s">
        <v>81</v>
      </c>
    </row>
    <row r="4" spans="1:26" x14ac:dyDescent="0.25">
      <c r="A4" s="72" t="s">
        <v>6</v>
      </c>
    </row>
    <row r="5" spans="1:26" x14ac:dyDescent="0.25">
      <c r="A5" s="72" t="s">
        <v>6</v>
      </c>
    </row>
    <row r="6" spans="1:26" x14ac:dyDescent="0.25">
      <c r="D6" s="72" t="s">
        <v>82</v>
      </c>
    </row>
    <row r="8" spans="1:26" x14ac:dyDescent="0.25">
      <c r="D8" s="72" t="s">
        <v>60</v>
      </c>
    </row>
    <row r="9" spans="1:26" x14ac:dyDescent="0.25">
      <c r="F9" s="72" t="s">
        <v>64</v>
      </c>
      <c r="H9" s="72" t="s">
        <v>65</v>
      </c>
      <c r="I9" s="72" t="s">
        <v>66</v>
      </c>
      <c r="K9" s="72" t="s">
        <v>67</v>
      </c>
      <c r="R9" s="72" t="s">
        <v>68</v>
      </c>
      <c r="S9" s="72" t="s">
        <v>69</v>
      </c>
      <c r="T9" s="72" t="s">
        <v>70</v>
      </c>
      <c r="U9" s="72" t="s">
        <v>71</v>
      </c>
      <c r="V9" s="72" t="s">
        <v>72</v>
      </c>
      <c r="W9" s="72" t="s">
        <v>183</v>
      </c>
      <c r="X9" s="72" t="s">
        <v>57</v>
      </c>
      <c r="Y9" s="72" t="s">
        <v>45</v>
      </c>
      <c r="Z9" s="72" t="s">
        <v>64</v>
      </c>
    </row>
    <row r="10" spans="1:26" x14ac:dyDescent="0.25">
      <c r="A10" s="72" t="s">
        <v>6</v>
      </c>
      <c r="E10" s="72" t="s">
        <v>83</v>
      </c>
      <c r="F10" s="72" t="s">
        <v>84</v>
      </c>
      <c r="H10" s="72" t="s">
        <v>74</v>
      </c>
      <c r="I10" s="72" t="s">
        <v>75</v>
      </c>
      <c r="K10" s="72" t="s">
        <v>76</v>
      </c>
      <c r="L10" s="72" t="s">
        <v>77</v>
      </c>
    </row>
    <row r="11" spans="1:26" x14ac:dyDescent="0.25">
      <c r="B11" s="72" t="s">
        <v>85</v>
      </c>
      <c r="E11" s="72" t="s">
        <v>86</v>
      </c>
      <c r="F11" s="72" t="s">
        <v>87</v>
      </c>
      <c r="G11" s="72" t="s">
        <v>88</v>
      </c>
      <c r="H11" s="72" t="s">
        <v>89</v>
      </c>
      <c r="I11" s="72" t="s">
        <v>90</v>
      </c>
      <c r="K11" s="72" t="s">
        <v>91</v>
      </c>
      <c r="L11" s="72" t="s">
        <v>92</v>
      </c>
      <c r="R11" s="72" t="s">
        <v>93</v>
      </c>
      <c r="Z11" s="72" t="s">
        <v>94</v>
      </c>
    </row>
    <row r="12" spans="1:26" x14ac:dyDescent="0.25">
      <c r="D12" s="72" t="s">
        <v>95</v>
      </c>
    </row>
    <row r="13" spans="1:26" x14ac:dyDescent="0.25">
      <c r="F13" s="72" t="s">
        <v>64</v>
      </c>
      <c r="H13" s="72" t="s">
        <v>65</v>
      </c>
      <c r="I13" s="72" t="s">
        <v>66</v>
      </c>
      <c r="K13" s="72" t="s">
        <v>67</v>
      </c>
      <c r="R13" s="72" t="s">
        <v>68</v>
      </c>
      <c r="S13" s="72" t="s">
        <v>69</v>
      </c>
      <c r="T13" s="72" t="s">
        <v>70</v>
      </c>
      <c r="U13" s="72" t="s">
        <v>71</v>
      </c>
      <c r="V13" s="72" t="s">
        <v>72</v>
      </c>
      <c r="W13" s="72" t="s">
        <v>183</v>
      </c>
      <c r="X13" s="72" t="s">
        <v>57</v>
      </c>
      <c r="Y13" s="72" t="s">
        <v>45</v>
      </c>
      <c r="Z13" s="72" t="s">
        <v>64</v>
      </c>
    </row>
    <row r="14" spans="1:26" x14ac:dyDescent="0.25">
      <c r="A14" s="72" t="s">
        <v>6</v>
      </c>
      <c r="E14" s="72" t="s">
        <v>96</v>
      </c>
      <c r="F14" s="72" t="s">
        <v>97</v>
      </c>
      <c r="H14" s="72" t="s">
        <v>74</v>
      </c>
      <c r="I14" s="72" t="s">
        <v>75</v>
      </c>
      <c r="K14" s="72" t="s">
        <v>76</v>
      </c>
      <c r="L14" s="72" t="s">
        <v>77</v>
      </c>
    </row>
    <row r="15" spans="1:26" x14ac:dyDescent="0.25">
      <c r="B15" s="72" t="s">
        <v>98</v>
      </c>
      <c r="E15" s="72" t="s">
        <v>99</v>
      </c>
      <c r="F15" s="72" t="s">
        <v>100</v>
      </c>
      <c r="G15" s="72" t="s">
        <v>101</v>
      </c>
      <c r="H15" s="72" t="s">
        <v>102</v>
      </c>
      <c r="I15" s="72" t="s">
        <v>103</v>
      </c>
      <c r="K15" s="72" t="s">
        <v>104</v>
      </c>
      <c r="L15" s="72" t="s">
        <v>105</v>
      </c>
      <c r="R15" s="72" t="s">
        <v>106</v>
      </c>
      <c r="Z15" s="72" t="s">
        <v>107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/>
  </sheetViews>
  <sheetFormatPr defaultRowHeight="15" x14ac:dyDescent="0.25"/>
  <sheetData>
    <row r="1" spans="1:26" x14ac:dyDescent="0.25">
      <c r="A1" s="72" t="s">
        <v>1543</v>
      </c>
      <c r="B1" s="72" t="s">
        <v>11</v>
      </c>
      <c r="C1" s="72" t="s">
        <v>6</v>
      </c>
      <c r="E1" s="72" t="s">
        <v>6</v>
      </c>
      <c r="F1" s="72" t="s">
        <v>19</v>
      </c>
      <c r="G1" s="72" t="s">
        <v>6</v>
      </c>
      <c r="H1" s="72" t="s">
        <v>30</v>
      </c>
      <c r="I1" s="72" t="s">
        <v>30</v>
      </c>
      <c r="J1" s="72" t="s">
        <v>6</v>
      </c>
      <c r="K1" s="72" t="s">
        <v>19</v>
      </c>
      <c r="L1" s="72" t="s">
        <v>19</v>
      </c>
      <c r="M1" s="72" t="s">
        <v>6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30</v>
      </c>
      <c r="T1" s="72" t="s">
        <v>30</v>
      </c>
      <c r="U1" s="72" t="s">
        <v>30</v>
      </c>
      <c r="V1" s="72" t="s">
        <v>30</v>
      </c>
      <c r="W1" s="72" t="s">
        <v>30</v>
      </c>
      <c r="X1" s="72" t="s">
        <v>30</v>
      </c>
      <c r="Y1" s="72" t="s">
        <v>30</v>
      </c>
      <c r="Z1" s="72" t="s">
        <v>30</v>
      </c>
    </row>
    <row r="2" spans="1:26" x14ac:dyDescent="0.25">
      <c r="A2" s="72" t="s">
        <v>6</v>
      </c>
      <c r="B2" s="72" t="s">
        <v>62</v>
      </c>
      <c r="C2" s="72" t="s">
        <v>80</v>
      </c>
    </row>
    <row r="3" spans="1:26" x14ac:dyDescent="0.25">
      <c r="A3" s="72" t="s">
        <v>6</v>
      </c>
      <c r="B3" s="72" t="s">
        <v>63</v>
      </c>
      <c r="C3" s="72" t="s">
        <v>81</v>
      </c>
    </row>
    <row r="4" spans="1:26" x14ac:dyDescent="0.25">
      <c r="A4" s="72" t="s">
        <v>6</v>
      </c>
    </row>
    <row r="5" spans="1:26" x14ac:dyDescent="0.25">
      <c r="A5" s="72" t="s">
        <v>6</v>
      </c>
    </row>
    <row r="6" spans="1:26" x14ac:dyDescent="0.25">
      <c r="D6" s="72" t="s">
        <v>82</v>
      </c>
    </row>
    <row r="8" spans="1:26" x14ac:dyDescent="0.25">
      <c r="D8" s="72" t="s">
        <v>60</v>
      </c>
    </row>
    <row r="9" spans="1:26" x14ac:dyDescent="0.25">
      <c r="F9" s="72" t="s">
        <v>64</v>
      </c>
      <c r="H9" s="72" t="s">
        <v>65</v>
      </c>
      <c r="I9" s="72" t="s">
        <v>66</v>
      </c>
      <c r="K9" s="72" t="s">
        <v>67</v>
      </c>
      <c r="R9" s="72" t="s">
        <v>68</v>
      </c>
      <c r="S9" s="72" t="s">
        <v>69</v>
      </c>
      <c r="T9" s="72" t="s">
        <v>70</v>
      </c>
      <c r="U9" s="72" t="s">
        <v>71</v>
      </c>
      <c r="V9" s="72" t="s">
        <v>72</v>
      </c>
      <c r="W9" s="72" t="s">
        <v>183</v>
      </c>
      <c r="X9" s="72" t="s">
        <v>57</v>
      </c>
      <c r="Y9" s="72" t="s">
        <v>45</v>
      </c>
      <c r="Z9" s="72" t="s">
        <v>64</v>
      </c>
    </row>
    <row r="10" spans="1:26" x14ac:dyDescent="0.25">
      <c r="A10" s="72" t="s">
        <v>6</v>
      </c>
      <c r="E10" s="72" t="s">
        <v>83</v>
      </c>
      <c r="F10" s="72" t="s">
        <v>84</v>
      </c>
      <c r="H10" s="72" t="s">
        <v>74</v>
      </c>
      <c r="I10" s="72" t="s">
        <v>75</v>
      </c>
      <c r="K10" s="72" t="s">
        <v>76</v>
      </c>
      <c r="L10" s="72" t="s">
        <v>77</v>
      </c>
    </row>
    <row r="11" spans="1:26" x14ac:dyDescent="0.25">
      <c r="B11" s="72" t="s">
        <v>85</v>
      </c>
      <c r="E11" s="72" t="s">
        <v>86</v>
      </c>
      <c r="F11" s="72" t="s">
        <v>87</v>
      </c>
      <c r="G11" s="72" t="s">
        <v>88</v>
      </c>
      <c r="H11" s="72" t="s">
        <v>89</v>
      </c>
      <c r="I11" s="72" t="s">
        <v>90</v>
      </c>
      <c r="K11" s="72" t="s">
        <v>91</v>
      </c>
      <c r="L11" s="72" t="s">
        <v>92</v>
      </c>
      <c r="R11" s="72" t="s">
        <v>93</v>
      </c>
      <c r="Z11" s="72" t="s">
        <v>94</v>
      </c>
    </row>
    <row r="12" spans="1:26" x14ac:dyDescent="0.25">
      <c r="D12" s="72" t="s">
        <v>95</v>
      </c>
    </row>
    <row r="13" spans="1:26" x14ac:dyDescent="0.25">
      <c r="F13" s="72" t="s">
        <v>64</v>
      </c>
      <c r="H13" s="72" t="s">
        <v>65</v>
      </c>
      <c r="I13" s="72" t="s">
        <v>66</v>
      </c>
      <c r="K13" s="72" t="s">
        <v>67</v>
      </c>
      <c r="R13" s="72" t="s">
        <v>68</v>
      </c>
      <c r="S13" s="72" t="s">
        <v>69</v>
      </c>
      <c r="T13" s="72" t="s">
        <v>70</v>
      </c>
      <c r="U13" s="72" t="s">
        <v>71</v>
      </c>
      <c r="V13" s="72" t="s">
        <v>72</v>
      </c>
      <c r="W13" s="72" t="s">
        <v>183</v>
      </c>
      <c r="X13" s="72" t="s">
        <v>57</v>
      </c>
      <c r="Y13" s="72" t="s">
        <v>45</v>
      </c>
      <c r="Z13" s="72" t="s">
        <v>64</v>
      </c>
    </row>
    <row r="14" spans="1:26" x14ac:dyDescent="0.25">
      <c r="A14" s="72" t="s">
        <v>6</v>
      </c>
      <c r="E14" s="72" t="s">
        <v>96</v>
      </c>
      <c r="F14" s="72" t="s">
        <v>97</v>
      </c>
      <c r="H14" s="72" t="s">
        <v>74</v>
      </c>
      <c r="I14" s="72" t="s">
        <v>75</v>
      </c>
      <c r="K14" s="72" t="s">
        <v>76</v>
      </c>
      <c r="L14" s="72" t="s">
        <v>77</v>
      </c>
    </row>
    <row r="15" spans="1:26" x14ac:dyDescent="0.25">
      <c r="B15" s="72" t="s">
        <v>98</v>
      </c>
      <c r="E15" s="72" t="s">
        <v>99</v>
      </c>
      <c r="F15" s="72" t="s">
        <v>100</v>
      </c>
      <c r="G15" s="72" t="s">
        <v>101</v>
      </c>
      <c r="H15" s="72" t="s">
        <v>102</v>
      </c>
      <c r="I15" s="72" t="s">
        <v>103</v>
      </c>
      <c r="K15" s="72" t="s">
        <v>104</v>
      </c>
      <c r="L15" s="72" t="s">
        <v>105</v>
      </c>
      <c r="R15" s="72" t="s">
        <v>106</v>
      </c>
      <c r="Z15" s="72" t="s">
        <v>107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/>
  </sheetViews>
  <sheetFormatPr defaultRowHeight="15" x14ac:dyDescent="0.25"/>
  <sheetData>
    <row r="1" spans="1:25" x14ac:dyDescent="0.25">
      <c r="A1" s="72" t="s">
        <v>1544</v>
      </c>
      <c r="B1" s="72" t="s">
        <v>11</v>
      </c>
      <c r="C1" s="72" t="s">
        <v>6</v>
      </c>
      <c r="E1" s="72" t="s">
        <v>6</v>
      </c>
      <c r="F1" s="72" t="s">
        <v>19</v>
      </c>
      <c r="G1" s="72" t="s">
        <v>6</v>
      </c>
      <c r="H1" s="72" t="s">
        <v>30</v>
      </c>
      <c r="I1" s="72" t="s">
        <v>30</v>
      </c>
      <c r="J1" s="72" t="s">
        <v>6</v>
      </c>
      <c r="K1" s="72" t="s">
        <v>19</v>
      </c>
      <c r="L1" s="72" t="s">
        <v>19</v>
      </c>
      <c r="M1" s="72" t="s">
        <v>6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30</v>
      </c>
      <c r="T1" s="72" t="s">
        <v>30</v>
      </c>
      <c r="U1" s="72" t="s">
        <v>30</v>
      </c>
      <c r="V1" s="72" t="s">
        <v>30</v>
      </c>
      <c r="W1" s="72" t="s">
        <v>30</v>
      </c>
      <c r="X1" s="72" t="s">
        <v>30</v>
      </c>
      <c r="Y1" s="72" t="s">
        <v>30</v>
      </c>
    </row>
    <row r="2" spans="1:25" x14ac:dyDescent="0.25">
      <c r="A2" s="72" t="s">
        <v>6</v>
      </c>
      <c r="B2" s="72" t="s">
        <v>62</v>
      </c>
      <c r="C2" s="72" t="s">
        <v>80</v>
      </c>
    </row>
    <row r="3" spans="1:25" x14ac:dyDescent="0.25">
      <c r="A3" s="72" t="s">
        <v>6</v>
      </c>
      <c r="B3" s="72" t="s">
        <v>63</v>
      </c>
      <c r="C3" s="72" t="s">
        <v>81</v>
      </c>
    </row>
    <row r="4" spans="1:25" x14ac:dyDescent="0.25">
      <c r="A4" s="72" t="s">
        <v>6</v>
      </c>
    </row>
    <row r="5" spans="1:25" x14ac:dyDescent="0.25">
      <c r="A5" s="72" t="s">
        <v>6</v>
      </c>
    </row>
    <row r="6" spans="1:25" x14ac:dyDescent="0.25">
      <c r="D6" s="72" t="s">
        <v>108</v>
      </c>
    </row>
    <row r="8" spans="1:25" x14ac:dyDescent="0.25">
      <c r="D8" s="72" t="s">
        <v>60</v>
      </c>
    </row>
    <row r="9" spans="1:25" x14ac:dyDescent="0.25">
      <c r="F9" s="72" t="s">
        <v>64</v>
      </c>
      <c r="H9" s="72" t="s">
        <v>65</v>
      </c>
      <c r="I9" s="72" t="s">
        <v>66</v>
      </c>
      <c r="K9" s="72" t="s">
        <v>67</v>
      </c>
      <c r="R9" s="72" t="s">
        <v>68</v>
      </c>
      <c r="S9" s="72" t="s">
        <v>69</v>
      </c>
      <c r="T9" s="72" t="s">
        <v>70</v>
      </c>
      <c r="U9" s="72" t="s">
        <v>71</v>
      </c>
      <c r="V9" s="72" t="s">
        <v>72</v>
      </c>
      <c r="W9" s="72" t="s">
        <v>73</v>
      </c>
      <c r="X9" s="72" t="s">
        <v>64</v>
      </c>
      <c r="Y9" s="72" t="s">
        <v>78</v>
      </c>
    </row>
    <row r="10" spans="1:25" x14ac:dyDescent="0.25">
      <c r="A10" s="72" t="s">
        <v>6</v>
      </c>
      <c r="E10" s="72" t="s">
        <v>83</v>
      </c>
      <c r="F10" s="72" t="s">
        <v>84</v>
      </c>
      <c r="H10" s="72" t="s">
        <v>74</v>
      </c>
      <c r="I10" s="72" t="s">
        <v>75</v>
      </c>
      <c r="K10" s="72" t="s">
        <v>76</v>
      </c>
      <c r="L10" s="72" t="s">
        <v>77</v>
      </c>
    </row>
    <row r="11" spans="1:25" x14ac:dyDescent="0.25">
      <c r="B11" s="72" t="s">
        <v>109</v>
      </c>
      <c r="E11" s="72" t="s">
        <v>86</v>
      </c>
      <c r="F11" s="72" t="s">
        <v>87</v>
      </c>
      <c r="G11" s="72" t="s">
        <v>88</v>
      </c>
      <c r="H11" s="72" t="s">
        <v>89</v>
      </c>
      <c r="I11" s="72" t="s">
        <v>90</v>
      </c>
      <c r="K11" s="72" t="s">
        <v>91</v>
      </c>
      <c r="L11" s="72" t="s">
        <v>92</v>
      </c>
      <c r="R11" s="72" t="s">
        <v>93</v>
      </c>
      <c r="X11" s="72" t="s">
        <v>94</v>
      </c>
    </row>
    <row r="12" spans="1:25" x14ac:dyDescent="0.25">
      <c r="D12" s="72" t="s">
        <v>61</v>
      </c>
    </row>
    <row r="13" spans="1:25" x14ac:dyDescent="0.25">
      <c r="F13" s="72" t="s">
        <v>64</v>
      </c>
      <c r="H13" s="72" t="s">
        <v>65</v>
      </c>
      <c r="I13" s="72" t="s">
        <v>66</v>
      </c>
      <c r="K13" s="72" t="s">
        <v>67</v>
      </c>
      <c r="R13" s="72" t="s">
        <v>68</v>
      </c>
      <c r="S13" s="72" t="s">
        <v>69</v>
      </c>
      <c r="T13" s="72" t="s">
        <v>70</v>
      </c>
      <c r="U13" s="72" t="s">
        <v>71</v>
      </c>
      <c r="V13" s="72" t="s">
        <v>72</v>
      </c>
      <c r="W13" s="72" t="s">
        <v>73</v>
      </c>
      <c r="X13" s="72" t="s">
        <v>64</v>
      </c>
      <c r="Y13" s="72" t="s">
        <v>78</v>
      </c>
    </row>
    <row r="14" spans="1:25" x14ac:dyDescent="0.25">
      <c r="A14" s="72" t="s">
        <v>6</v>
      </c>
      <c r="E14" s="72" t="s">
        <v>96</v>
      </c>
      <c r="F14" s="72" t="s">
        <v>97</v>
      </c>
      <c r="H14" s="72" t="s">
        <v>74</v>
      </c>
      <c r="I14" s="72" t="s">
        <v>75</v>
      </c>
      <c r="K14" s="72" t="s">
        <v>76</v>
      </c>
      <c r="L14" s="72" t="s">
        <v>77</v>
      </c>
    </row>
    <row r="15" spans="1:25" x14ac:dyDescent="0.25">
      <c r="B15" s="72" t="s">
        <v>110</v>
      </c>
      <c r="E15" s="72" t="s">
        <v>99</v>
      </c>
      <c r="F15" s="72" t="s">
        <v>100</v>
      </c>
      <c r="G15" s="72" t="s">
        <v>101</v>
      </c>
      <c r="H15" s="72" t="s">
        <v>102</v>
      </c>
      <c r="I15" s="72" t="s">
        <v>103</v>
      </c>
      <c r="K15" s="72" t="s">
        <v>104</v>
      </c>
      <c r="L15" s="72" t="s">
        <v>105</v>
      </c>
      <c r="R15" s="72" t="s">
        <v>106</v>
      </c>
      <c r="X15" s="72" t="s">
        <v>107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/>
  </sheetViews>
  <sheetFormatPr defaultRowHeight="15" x14ac:dyDescent="0.25"/>
  <sheetData>
    <row r="1" spans="1:25" x14ac:dyDescent="0.25">
      <c r="A1" s="72" t="s">
        <v>1544</v>
      </c>
      <c r="B1" s="72" t="s">
        <v>11</v>
      </c>
      <c r="C1" s="72" t="s">
        <v>6</v>
      </c>
      <c r="E1" s="72" t="s">
        <v>6</v>
      </c>
      <c r="F1" s="72" t="s">
        <v>19</v>
      </c>
      <c r="G1" s="72" t="s">
        <v>6</v>
      </c>
      <c r="H1" s="72" t="s">
        <v>30</v>
      </c>
      <c r="I1" s="72" t="s">
        <v>30</v>
      </c>
      <c r="J1" s="72" t="s">
        <v>6</v>
      </c>
      <c r="K1" s="72" t="s">
        <v>19</v>
      </c>
      <c r="L1" s="72" t="s">
        <v>19</v>
      </c>
      <c r="M1" s="72" t="s">
        <v>6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30</v>
      </c>
      <c r="T1" s="72" t="s">
        <v>30</v>
      </c>
      <c r="U1" s="72" t="s">
        <v>30</v>
      </c>
      <c r="V1" s="72" t="s">
        <v>30</v>
      </c>
      <c r="W1" s="72" t="s">
        <v>30</v>
      </c>
      <c r="X1" s="72" t="s">
        <v>30</v>
      </c>
      <c r="Y1" s="72" t="s">
        <v>30</v>
      </c>
    </row>
    <row r="2" spans="1:25" x14ac:dyDescent="0.25">
      <c r="A2" s="72" t="s">
        <v>6</v>
      </c>
      <c r="B2" s="72" t="s">
        <v>62</v>
      </c>
      <c r="C2" s="72" t="s">
        <v>80</v>
      </c>
    </row>
    <row r="3" spans="1:25" x14ac:dyDescent="0.25">
      <c r="A3" s="72" t="s">
        <v>6</v>
      </c>
      <c r="B3" s="72" t="s">
        <v>63</v>
      </c>
      <c r="C3" s="72" t="s">
        <v>81</v>
      </c>
    </row>
    <row r="4" spans="1:25" x14ac:dyDescent="0.25">
      <c r="A4" s="72" t="s">
        <v>6</v>
      </c>
    </row>
    <row r="5" spans="1:25" x14ac:dyDescent="0.25">
      <c r="A5" s="72" t="s">
        <v>6</v>
      </c>
    </row>
    <row r="6" spans="1:25" x14ac:dyDescent="0.25">
      <c r="D6" s="72" t="s">
        <v>108</v>
      </c>
    </row>
    <row r="8" spans="1:25" x14ac:dyDescent="0.25">
      <c r="D8" s="72" t="s">
        <v>60</v>
      </c>
    </row>
    <row r="9" spans="1:25" x14ac:dyDescent="0.25">
      <c r="F9" s="72" t="s">
        <v>64</v>
      </c>
      <c r="H9" s="72" t="s">
        <v>65</v>
      </c>
      <c r="I9" s="72" t="s">
        <v>66</v>
      </c>
      <c r="K9" s="72" t="s">
        <v>67</v>
      </c>
      <c r="R9" s="72" t="s">
        <v>68</v>
      </c>
      <c r="S9" s="72" t="s">
        <v>69</v>
      </c>
      <c r="T9" s="72" t="s">
        <v>70</v>
      </c>
      <c r="U9" s="72" t="s">
        <v>71</v>
      </c>
      <c r="V9" s="72" t="s">
        <v>72</v>
      </c>
      <c r="W9" s="72" t="s">
        <v>73</v>
      </c>
      <c r="X9" s="72" t="s">
        <v>64</v>
      </c>
      <c r="Y9" s="72" t="s">
        <v>78</v>
      </c>
    </row>
    <row r="10" spans="1:25" x14ac:dyDescent="0.25">
      <c r="A10" s="72" t="s">
        <v>6</v>
      </c>
      <c r="E10" s="72" t="s">
        <v>83</v>
      </c>
      <c r="F10" s="72" t="s">
        <v>84</v>
      </c>
      <c r="H10" s="72" t="s">
        <v>74</v>
      </c>
      <c r="I10" s="72" t="s">
        <v>75</v>
      </c>
      <c r="K10" s="72" t="s">
        <v>76</v>
      </c>
      <c r="L10" s="72" t="s">
        <v>77</v>
      </c>
    </row>
    <row r="11" spans="1:25" x14ac:dyDescent="0.25">
      <c r="B11" s="72" t="s">
        <v>109</v>
      </c>
      <c r="E11" s="72" t="s">
        <v>86</v>
      </c>
      <c r="F11" s="72" t="s">
        <v>87</v>
      </c>
      <c r="G11" s="72" t="s">
        <v>88</v>
      </c>
      <c r="H11" s="72" t="s">
        <v>89</v>
      </c>
      <c r="I11" s="72" t="s">
        <v>90</v>
      </c>
      <c r="K11" s="72" t="s">
        <v>91</v>
      </c>
      <c r="L11" s="72" t="s">
        <v>92</v>
      </c>
      <c r="R11" s="72" t="s">
        <v>93</v>
      </c>
      <c r="X11" s="72" t="s">
        <v>94</v>
      </c>
    </row>
    <row r="12" spans="1:25" x14ac:dyDescent="0.25">
      <c r="D12" s="72" t="s">
        <v>61</v>
      </c>
    </row>
    <row r="13" spans="1:25" x14ac:dyDescent="0.25">
      <c r="F13" s="72" t="s">
        <v>64</v>
      </c>
      <c r="H13" s="72" t="s">
        <v>65</v>
      </c>
      <c r="I13" s="72" t="s">
        <v>66</v>
      </c>
      <c r="K13" s="72" t="s">
        <v>67</v>
      </c>
      <c r="R13" s="72" t="s">
        <v>68</v>
      </c>
      <c r="S13" s="72" t="s">
        <v>69</v>
      </c>
      <c r="T13" s="72" t="s">
        <v>70</v>
      </c>
      <c r="U13" s="72" t="s">
        <v>71</v>
      </c>
      <c r="V13" s="72" t="s">
        <v>72</v>
      </c>
      <c r="W13" s="72" t="s">
        <v>73</v>
      </c>
      <c r="X13" s="72" t="s">
        <v>64</v>
      </c>
      <c r="Y13" s="72" t="s">
        <v>78</v>
      </c>
    </row>
    <row r="14" spans="1:25" x14ac:dyDescent="0.25">
      <c r="A14" s="72" t="s">
        <v>6</v>
      </c>
      <c r="E14" s="72" t="s">
        <v>96</v>
      </c>
      <c r="F14" s="72" t="s">
        <v>97</v>
      </c>
      <c r="H14" s="72" t="s">
        <v>74</v>
      </c>
      <c r="I14" s="72" t="s">
        <v>75</v>
      </c>
      <c r="K14" s="72" t="s">
        <v>76</v>
      </c>
      <c r="L14" s="72" t="s">
        <v>77</v>
      </c>
    </row>
    <row r="15" spans="1:25" x14ac:dyDescent="0.25">
      <c r="B15" s="72" t="s">
        <v>110</v>
      </c>
      <c r="E15" s="72" t="s">
        <v>99</v>
      </c>
      <c r="F15" s="72" t="s">
        <v>100</v>
      </c>
      <c r="G15" s="72" t="s">
        <v>101</v>
      </c>
      <c r="H15" s="72" t="s">
        <v>102</v>
      </c>
      <c r="I15" s="72" t="s">
        <v>103</v>
      </c>
      <c r="K15" s="72" t="s">
        <v>104</v>
      </c>
      <c r="L15" s="72" t="s">
        <v>105</v>
      </c>
      <c r="R15" s="72" t="s">
        <v>106</v>
      </c>
      <c r="X15" s="72" t="s">
        <v>107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1546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79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1546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79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1547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44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1547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44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1548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45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1548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45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1580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NAVARRO COUNTY FOOD PANTRY  (002491P)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"002491P"</f>
        <v>002491P</v>
      </c>
      <c r="E4" s="101" t="s">
        <v>37</v>
      </c>
      <c r="F4" s="105" t="str">
        <f>C4</f>
        <v>002491P</v>
      </c>
      <c r="K4" s="101" t="s">
        <v>42</v>
      </c>
      <c r="L4" s="104"/>
      <c r="M4" s="111">
        <f>SUM(I25:I29)</f>
        <v>39</v>
      </c>
    </row>
    <row r="5" spans="1:26" ht="18" customHeight="1" x14ac:dyDescent="0.25">
      <c r="B5" s="76" t="str">
        <f t="shared" si="0"/>
        <v>Show</v>
      </c>
      <c r="C5" s="109" t="s">
        <v>1296</v>
      </c>
      <c r="E5" s="101" t="s">
        <v>36</v>
      </c>
      <c r="F5" s="112" t="s">
        <v>730</v>
      </c>
      <c r="K5" s="101" t="s">
        <v>43</v>
      </c>
      <c r="L5" s="104"/>
      <c r="M5" s="111">
        <f>ROUND(SUM(O25:O29),0)</f>
        <v>821</v>
      </c>
    </row>
    <row r="6" spans="1:26" ht="18" customHeight="1" x14ac:dyDescent="0.25">
      <c r="B6" s="76" t="str">
        <f t="shared" si="0"/>
        <v>Show</v>
      </c>
      <c r="C6" s="109" t="s">
        <v>1297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ROUND(COUNT(O25:O29),0)</f>
        <v>4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A108478|A108478|A108478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ITPN-207507|ITPN-207508|ITPN-207507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1298</v>
      </c>
      <c r="E12" s="74" t="s">
        <v>1277</v>
      </c>
      <c r="F12" s="74" t="s">
        <v>1291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Pick"",""2"",""ITPN-207508"""</f>
        <v>"Ceres NTFB Live","NTFB Live","5766","1","Invt. Pick","2","ITPN-207508"</v>
      </c>
      <c r="E13" s="74" t="s">
        <v>1277</v>
      </c>
      <c r="F13" s="74" t="s">
        <v>1292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1277</v>
      </c>
      <c r="E14" s="74" t="str">
        <f>E12</f>
        <v>A108478</v>
      </c>
      <c r="F14" s="74" t="str">
        <f>F12</f>
        <v>ITPN-207507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1293</v>
      </c>
      <c r="F15" s="92" t="s">
        <v>1294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1295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96" t="s">
        <v>79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1299</v>
      </c>
      <c r="D25" s="89" t="s">
        <v>1278</v>
      </c>
      <c r="E25" s="89" t="s">
        <v>1279</v>
      </c>
      <c r="F25" s="89" t="s">
        <v>738</v>
      </c>
      <c r="G25" s="91" t="s">
        <v>1280</v>
      </c>
      <c r="H25" s="90" t="s">
        <v>739</v>
      </c>
      <c r="I25" s="89">
        <v>10</v>
      </c>
      <c r="J25" s="89" t="s">
        <v>286</v>
      </c>
      <c r="K25" s="88"/>
      <c r="L25" s="87"/>
      <c r="M25" s="87"/>
      <c r="N25" s="85" t="s">
        <v>179</v>
      </c>
      <c r="O25" s="85">
        <v>180</v>
      </c>
      <c r="P25" s="85" t="s">
        <v>183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28" si="2">IF(I26="","Hide","Show")</f>
        <v>Show</v>
      </c>
      <c r="C26" s="74" t="str">
        <f>"""Ceres NTFB Live"",""NTFB Live"",""5767"",""1"",""Invt. Pick"",""2"",""ITPN-207508"",""3"",""101000"""</f>
        <v>"Ceres NTFB Live","NTFB Live","5767","1","Invt. Pick","2","ITPN-207508","3","101000"</v>
      </c>
      <c r="D26" s="89" t="s">
        <v>1281</v>
      </c>
      <c r="E26" s="89" t="s">
        <v>1282</v>
      </c>
      <c r="F26" s="89" t="s">
        <v>1283</v>
      </c>
      <c r="G26" s="91" t="s">
        <v>1280</v>
      </c>
      <c r="H26" s="90" t="s">
        <v>1284</v>
      </c>
      <c r="I26" s="89">
        <v>9</v>
      </c>
      <c r="J26" s="89" t="s">
        <v>286</v>
      </c>
      <c r="K26" s="88"/>
      <c r="L26" s="87"/>
      <c r="M26" s="87"/>
      <c r="N26" s="85" t="s">
        <v>179</v>
      </c>
      <c r="O26" s="85">
        <v>81</v>
      </c>
      <c r="P26" s="85" t="s">
        <v>183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2"/>
        <v>Show</v>
      </c>
      <c r="C27" s="74" t="str">
        <f>"""Ceres NTFB Live"",""NTFB Live"",""5767"",""1"",""Invt. Pick"",""2"",""ITPN-207508"",""3"",""190000"""</f>
        <v>"Ceres NTFB Live","NTFB Live","5767","1","Invt. Pick","2","ITPN-207508","3","190000"</v>
      </c>
      <c r="D27" s="89" t="s">
        <v>1285</v>
      </c>
      <c r="E27" s="89" t="s">
        <v>1286</v>
      </c>
      <c r="F27" s="89" t="s">
        <v>1287</v>
      </c>
      <c r="G27" s="91" t="s">
        <v>1280</v>
      </c>
      <c r="H27" s="90" t="s">
        <v>1288</v>
      </c>
      <c r="I27" s="89">
        <v>10</v>
      </c>
      <c r="J27" s="89" t="s">
        <v>286</v>
      </c>
      <c r="K27" s="88"/>
      <c r="L27" s="87"/>
      <c r="M27" s="87"/>
      <c r="N27" s="85" t="s">
        <v>179</v>
      </c>
      <c r="O27" s="85">
        <v>280</v>
      </c>
      <c r="P27" s="85" t="s">
        <v>742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2"/>
        <v>Show</v>
      </c>
      <c r="C28" s="74" t="str">
        <f>"""Ceres NTFB Live"",""NTFB Live"",""5767"",""1"",""Invt. Pick"",""2"",""ITPN-207508"",""3"",""180000"""</f>
        <v>"Ceres NTFB Live","NTFB Live","5767","1","Invt. Pick","2","ITPN-207508","3","180000"</v>
      </c>
      <c r="D28" s="89" t="s">
        <v>1289</v>
      </c>
      <c r="E28" s="89" t="s">
        <v>1290</v>
      </c>
      <c r="F28" s="89" t="s">
        <v>1287</v>
      </c>
      <c r="G28" s="91" t="s">
        <v>1280</v>
      </c>
      <c r="H28" s="90" t="s">
        <v>1288</v>
      </c>
      <c r="I28" s="89">
        <v>10</v>
      </c>
      <c r="J28" s="89" t="s">
        <v>286</v>
      </c>
      <c r="K28" s="88"/>
      <c r="L28" s="87"/>
      <c r="M28" s="87"/>
      <c r="N28" s="85" t="s">
        <v>179</v>
      </c>
      <c r="O28" s="85">
        <v>280</v>
      </c>
      <c r="P28" s="85" t="s">
        <v>742</v>
      </c>
      <c r="Q28" s="86" t="s">
        <v>56</v>
      </c>
    </row>
    <row r="29" spans="1:17" ht="15.75" thickBot="1" x14ac:dyDescent="0.3">
      <c r="B29" s="74" t="str">
        <f>B25</f>
        <v>Show</v>
      </c>
      <c r="H29" s="85"/>
      <c r="I29" s="85"/>
    </row>
    <row r="30" spans="1:17" ht="15.75" thickBot="1" x14ac:dyDescent="0.3">
      <c r="B30" s="74" t="str">
        <f>+B29</f>
        <v>Show</v>
      </c>
      <c r="D30" s="193" t="str">
        <f>+"END OF "&amp;D2</f>
        <v>END OF NAVARRO COUNTY FOOD PANTRY  (002491P) - DRY|DRYUSDA|MCTF PICK LIST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PICKUP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002491P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NAVARRO COUNTY FOOD PANTRY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1277</v>
      </c>
      <c r="G36" s="174"/>
      <c r="H36" s="174"/>
      <c r="I36" s="174"/>
      <c r="J36" s="174"/>
      <c r="K36" s="174"/>
      <c r="L36" s="174"/>
      <c r="M36" s="175"/>
    </row>
    <row r="37" spans="1:16" ht="15.75" hidden="1" customHeight="1" thickBot="1" x14ac:dyDescent="0.3">
      <c r="A37" s="76" t="s">
        <v>19</v>
      </c>
      <c r="D37" s="80"/>
      <c r="E37" s="78"/>
      <c r="F37" s="78"/>
      <c r="G37" s="79"/>
      <c r="H37" s="78"/>
      <c r="I37" s="78"/>
      <c r="J37" s="78"/>
      <c r="K37" s="78"/>
      <c r="L37" s="78"/>
      <c r="M37" s="77"/>
    </row>
    <row r="38" spans="1:16" ht="36.75" x14ac:dyDescent="0.45">
      <c r="A38" s="76" t="s">
        <v>30</v>
      </c>
      <c r="D38" s="176" t="s">
        <v>50</v>
      </c>
      <c r="E38" s="177"/>
      <c r="F38" s="178">
        <f>+F7</f>
        <v>42612</v>
      </c>
      <c r="G38" s="179"/>
      <c r="H38" s="179"/>
      <c r="I38" s="179"/>
      <c r="J38" s="179"/>
      <c r="K38" s="179"/>
      <c r="L38" s="179"/>
      <c r="M38" s="180"/>
    </row>
    <row r="39" spans="1:16" ht="37.5" thickBot="1" x14ac:dyDescent="0.5">
      <c r="A39" s="76" t="s">
        <v>30</v>
      </c>
      <c r="D39" s="158" t="s">
        <v>32</v>
      </c>
      <c r="E39" s="159"/>
      <c r="F39" s="160"/>
      <c r="G39" s="161"/>
      <c r="H39" s="161"/>
      <c r="I39" s="161"/>
      <c r="J39" s="161"/>
      <c r="K39" s="161"/>
      <c r="L39" s="161"/>
      <c r="M39" s="162"/>
    </row>
    <row r="40" spans="1:16" ht="80.099999999999994" customHeight="1" thickBot="1" x14ac:dyDescent="0.3">
      <c r="A40" s="76" t="s">
        <v>30</v>
      </c>
      <c r="D40" s="163" t="s">
        <v>51</v>
      </c>
      <c r="E40" s="164"/>
      <c r="F40" s="164"/>
      <c r="G40" s="164"/>
      <c r="H40" s="164"/>
      <c r="I40" s="164"/>
      <c r="J40" s="164"/>
      <c r="K40" s="164"/>
      <c r="L40" s="164"/>
      <c r="M40" s="165"/>
    </row>
    <row r="41" spans="1:16" ht="90" customHeight="1" thickBot="1" x14ac:dyDescent="0.3">
      <c r="A41" s="76" t="s">
        <v>30</v>
      </c>
      <c r="D41" s="166" t="str">
        <f>IF(F6="DELIVER",G6,F6)</f>
        <v>PICKUP</v>
      </c>
      <c r="E41" s="167"/>
      <c r="F41" s="167"/>
      <c r="G41" s="167"/>
      <c r="H41" s="167"/>
      <c r="I41" s="167"/>
      <c r="J41" s="167"/>
      <c r="K41" s="167"/>
      <c r="L41" s="167"/>
      <c r="M41" s="168"/>
    </row>
    <row r="42" spans="1:16" ht="60" customHeight="1" thickBot="1" x14ac:dyDescent="0.3">
      <c r="A42" s="76" t="s">
        <v>30</v>
      </c>
      <c r="D42" s="169" t="s">
        <v>55</v>
      </c>
      <c r="E42" s="170"/>
      <c r="F42" s="170"/>
      <c r="G42" s="170"/>
      <c r="H42" s="170"/>
      <c r="I42" s="170"/>
      <c r="J42" s="170"/>
      <c r="K42" s="170"/>
      <c r="L42" s="170"/>
      <c r="M42" s="171"/>
    </row>
  </sheetData>
  <mergeCells count="17">
    <mergeCell ref="D2:M2"/>
    <mergeCell ref="F16:M18"/>
    <mergeCell ref="D30:M30"/>
    <mergeCell ref="D32:M32"/>
    <mergeCell ref="D33:E33"/>
    <mergeCell ref="F33:M33"/>
    <mergeCell ref="D34:E34"/>
    <mergeCell ref="F34:M34"/>
    <mergeCell ref="D35:E35"/>
    <mergeCell ref="F36:M36"/>
    <mergeCell ref="D38:E38"/>
    <mergeCell ref="F38:M38"/>
    <mergeCell ref="D39:E39"/>
    <mergeCell ref="F39:M39"/>
    <mergeCell ref="D40:M40"/>
    <mergeCell ref="D41:M41"/>
    <mergeCell ref="D42:M42"/>
  </mergeCells>
  <conditionalFormatting sqref="F6">
    <cfRule type="cellIs" dxfId="444" priority="5" operator="equal">
      <formula>"DELIVER"</formula>
    </cfRule>
  </conditionalFormatting>
  <conditionalFormatting sqref="D32">
    <cfRule type="cellIs" dxfId="443" priority="4" operator="equal">
      <formula>"DELIVER"</formula>
    </cfRule>
  </conditionalFormatting>
  <conditionalFormatting sqref="D2:M2">
    <cfRule type="expression" dxfId="442" priority="3">
      <formula>$F$6="DELIVER"</formula>
    </cfRule>
  </conditionalFormatting>
  <conditionalFormatting sqref="G6">
    <cfRule type="expression" dxfId="441" priority="2">
      <formula>$F$6="DELIVER"</formula>
    </cfRule>
  </conditionalFormatting>
  <conditionalFormatting sqref="D41">
    <cfRule type="expression" dxfId="44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1549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59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1549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59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/>
  </sheetViews>
  <sheetFormatPr defaultRowHeight="15" x14ac:dyDescent="0.25"/>
  <sheetData>
    <row r="1" spans="1:26" x14ac:dyDescent="0.25">
      <c r="A1" s="72" t="s">
        <v>1551</v>
      </c>
      <c r="B1" s="72" t="s">
        <v>11</v>
      </c>
      <c r="C1" s="72" t="s">
        <v>6</v>
      </c>
      <c r="E1" s="72" t="s">
        <v>6</v>
      </c>
      <c r="F1" s="72" t="s">
        <v>19</v>
      </c>
      <c r="G1" s="72" t="s">
        <v>6</v>
      </c>
      <c r="H1" s="72" t="s">
        <v>30</v>
      </c>
      <c r="I1" s="72" t="s">
        <v>30</v>
      </c>
      <c r="J1" s="72" t="s">
        <v>6</v>
      </c>
      <c r="K1" s="72" t="s">
        <v>19</v>
      </c>
      <c r="L1" s="72" t="s">
        <v>19</v>
      </c>
      <c r="M1" s="72" t="s">
        <v>6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30</v>
      </c>
      <c r="T1" s="72" t="s">
        <v>30</v>
      </c>
      <c r="U1" s="72" t="s">
        <v>30</v>
      </c>
      <c r="V1" s="72" t="s">
        <v>30</v>
      </c>
      <c r="W1" s="72" t="s">
        <v>30</v>
      </c>
      <c r="X1" s="72" t="s">
        <v>30</v>
      </c>
      <c r="Y1" s="72" t="s">
        <v>30</v>
      </c>
      <c r="Z1" s="72" t="s">
        <v>30</v>
      </c>
    </row>
    <row r="2" spans="1:26" x14ac:dyDescent="0.25">
      <c r="A2" s="72" t="s">
        <v>6</v>
      </c>
      <c r="B2" s="72" t="s">
        <v>62</v>
      </c>
      <c r="C2" s="72" t="s">
        <v>80</v>
      </c>
    </row>
    <row r="3" spans="1:26" x14ac:dyDescent="0.25">
      <c r="A3" s="72" t="s">
        <v>6</v>
      </c>
      <c r="B3" s="72" t="s">
        <v>63</v>
      </c>
      <c r="C3" s="72" t="s">
        <v>81</v>
      </c>
    </row>
    <row r="4" spans="1:26" x14ac:dyDescent="0.25">
      <c r="A4" s="72" t="s">
        <v>6</v>
      </c>
    </row>
    <row r="5" spans="1:26" x14ac:dyDescent="0.25">
      <c r="A5" s="72" t="s">
        <v>6</v>
      </c>
    </row>
    <row r="6" spans="1:26" x14ac:dyDescent="0.25">
      <c r="D6" s="72" t="s">
        <v>82</v>
      </c>
    </row>
    <row r="8" spans="1:26" x14ac:dyDescent="0.25">
      <c r="D8" s="72" t="s">
        <v>60</v>
      </c>
    </row>
    <row r="9" spans="1:26" x14ac:dyDescent="0.25">
      <c r="F9" s="72" t="s">
        <v>64</v>
      </c>
      <c r="H9" s="72" t="s">
        <v>65</v>
      </c>
      <c r="I9" s="72" t="s">
        <v>66</v>
      </c>
      <c r="K9" s="72" t="s">
        <v>67</v>
      </c>
      <c r="R9" s="72" t="s">
        <v>68</v>
      </c>
      <c r="S9" s="72" t="s">
        <v>69</v>
      </c>
      <c r="T9" s="72" t="s">
        <v>70</v>
      </c>
      <c r="U9" s="72" t="s">
        <v>71</v>
      </c>
      <c r="V9" s="72" t="s">
        <v>72</v>
      </c>
      <c r="W9" s="72" t="s">
        <v>183</v>
      </c>
      <c r="X9" s="72" t="s">
        <v>57</v>
      </c>
      <c r="Y9" s="72" t="s">
        <v>45</v>
      </c>
      <c r="Z9" s="72" t="s">
        <v>64</v>
      </c>
    </row>
    <row r="10" spans="1:26" x14ac:dyDescent="0.25">
      <c r="A10" s="72" t="s">
        <v>6</v>
      </c>
      <c r="E10" s="72" t="s">
        <v>83</v>
      </c>
      <c r="F10" s="72" t="s">
        <v>84</v>
      </c>
      <c r="H10" s="72" t="s">
        <v>74</v>
      </c>
      <c r="I10" s="72" t="s">
        <v>75</v>
      </c>
      <c r="K10" s="72" t="s">
        <v>76</v>
      </c>
      <c r="L10" s="72" t="s">
        <v>77</v>
      </c>
    </row>
    <row r="11" spans="1:26" x14ac:dyDescent="0.25">
      <c r="B11" s="72" t="s">
        <v>85</v>
      </c>
      <c r="E11" s="72" t="s">
        <v>86</v>
      </c>
      <c r="F11" s="72" t="s">
        <v>87</v>
      </c>
      <c r="G11" s="72" t="s">
        <v>88</v>
      </c>
      <c r="H11" s="72" t="s">
        <v>89</v>
      </c>
      <c r="I11" s="72" t="s">
        <v>90</v>
      </c>
      <c r="K11" s="72" t="s">
        <v>91</v>
      </c>
      <c r="L11" s="72" t="s">
        <v>92</v>
      </c>
      <c r="R11" s="72" t="s">
        <v>93</v>
      </c>
      <c r="Z11" s="72" t="s">
        <v>94</v>
      </c>
    </row>
    <row r="12" spans="1:26" x14ac:dyDescent="0.25">
      <c r="A12" s="72" t="s">
        <v>174</v>
      </c>
      <c r="B12" s="72" t="s">
        <v>794</v>
      </c>
      <c r="E12" s="72" t="s">
        <v>795</v>
      </c>
      <c r="F12" s="72" t="s">
        <v>796</v>
      </c>
      <c r="G12" s="72" t="s">
        <v>797</v>
      </c>
      <c r="H12" s="72" t="s">
        <v>798</v>
      </c>
      <c r="I12" s="72" t="s">
        <v>799</v>
      </c>
      <c r="K12" s="72" t="s">
        <v>800</v>
      </c>
      <c r="L12" s="72" t="s">
        <v>801</v>
      </c>
      <c r="R12" s="72" t="s">
        <v>802</v>
      </c>
      <c r="Z12" s="72" t="s">
        <v>803</v>
      </c>
    </row>
    <row r="13" spans="1:26" x14ac:dyDescent="0.25">
      <c r="A13" s="72" t="s">
        <v>174</v>
      </c>
      <c r="B13" s="72" t="s">
        <v>386</v>
      </c>
      <c r="E13" s="72" t="s">
        <v>138</v>
      </c>
      <c r="F13" s="72" t="s">
        <v>387</v>
      </c>
      <c r="G13" s="72" t="s">
        <v>388</v>
      </c>
      <c r="H13" s="72" t="s">
        <v>804</v>
      </c>
      <c r="I13" s="72" t="s">
        <v>389</v>
      </c>
      <c r="K13" s="72" t="s">
        <v>390</v>
      </c>
      <c r="L13" s="72" t="s">
        <v>391</v>
      </c>
      <c r="R13" s="72" t="s">
        <v>392</v>
      </c>
      <c r="Z13" s="72" t="s">
        <v>393</v>
      </c>
    </row>
    <row r="14" spans="1:26" x14ac:dyDescent="0.25">
      <c r="A14" s="72" t="s">
        <v>173</v>
      </c>
      <c r="E14" s="72" t="s">
        <v>96</v>
      </c>
      <c r="F14" s="72" t="s">
        <v>805</v>
      </c>
      <c r="H14" s="72" t="s">
        <v>74</v>
      </c>
      <c r="I14" s="72" t="s">
        <v>75</v>
      </c>
      <c r="K14" s="72" t="s">
        <v>76</v>
      </c>
      <c r="L14" s="72" t="s">
        <v>77</v>
      </c>
    </row>
    <row r="15" spans="1:26" x14ac:dyDescent="0.25">
      <c r="A15" s="72" t="s">
        <v>174</v>
      </c>
      <c r="B15" s="72" t="s">
        <v>98</v>
      </c>
      <c r="E15" s="72" t="s">
        <v>99</v>
      </c>
      <c r="F15" s="72" t="s">
        <v>100</v>
      </c>
      <c r="G15" s="72" t="s">
        <v>101</v>
      </c>
      <c r="H15" s="72" t="s">
        <v>102</v>
      </c>
      <c r="I15" s="72" t="s">
        <v>103</v>
      </c>
      <c r="K15" s="72" t="s">
        <v>104</v>
      </c>
      <c r="L15" s="72" t="s">
        <v>105</v>
      </c>
      <c r="R15" s="72" t="s">
        <v>106</v>
      </c>
      <c r="Z15" s="72" t="s">
        <v>107</v>
      </c>
    </row>
    <row r="16" spans="1:26" x14ac:dyDescent="0.25">
      <c r="A16" s="72" t="s">
        <v>174</v>
      </c>
      <c r="B16" s="72" t="s">
        <v>806</v>
      </c>
      <c r="E16" s="72" t="s">
        <v>201</v>
      </c>
      <c r="F16" s="72" t="s">
        <v>807</v>
      </c>
      <c r="G16" s="72" t="s">
        <v>808</v>
      </c>
      <c r="H16" s="72" t="s">
        <v>809</v>
      </c>
      <c r="I16" s="72" t="s">
        <v>810</v>
      </c>
      <c r="K16" s="72" t="s">
        <v>811</v>
      </c>
      <c r="L16" s="72" t="s">
        <v>812</v>
      </c>
      <c r="R16" s="72" t="s">
        <v>813</v>
      </c>
      <c r="Z16" s="72" t="s">
        <v>814</v>
      </c>
    </row>
    <row r="17" spans="1:26" x14ac:dyDescent="0.25">
      <c r="A17" s="72" t="s">
        <v>174</v>
      </c>
      <c r="B17" s="72" t="s">
        <v>394</v>
      </c>
      <c r="E17" s="72" t="s">
        <v>181</v>
      </c>
      <c r="F17" s="72" t="s">
        <v>395</v>
      </c>
      <c r="G17" s="72" t="s">
        <v>396</v>
      </c>
      <c r="H17" s="72" t="s">
        <v>815</v>
      </c>
      <c r="I17" s="72" t="s">
        <v>397</v>
      </c>
      <c r="K17" s="72" t="s">
        <v>398</v>
      </c>
      <c r="L17" s="72" t="s">
        <v>399</v>
      </c>
      <c r="R17" s="72" t="s">
        <v>400</v>
      </c>
      <c r="Z17" s="72" t="s">
        <v>401</v>
      </c>
    </row>
    <row r="18" spans="1:26" x14ac:dyDescent="0.25">
      <c r="A18" s="72" t="s">
        <v>174</v>
      </c>
      <c r="B18" s="72" t="s">
        <v>185</v>
      </c>
      <c r="E18" s="72" t="s">
        <v>186</v>
      </c>
      <c r="F18" s="72" t="s">
        <v>187</v>
      </c>
      <c r="G18" s="72" t="s">
        <v>188</v>
      </c>
      <c r="H18" s="72" t="s">
        <v>816</v>
      </c>
      <c r="I18" s="72" t="s">
        <v>189</v>
      </c>
      <c r="K18" s="72" t="s">
        <v>190</v>
      </c>
      <c r="L18" s="72" t="s">
        <v>191</v>
      </c>
      <c r="R18" s="72" t="s">
        <v>192</v>
      </c>
      <c r="Z18" s="72" t="s">
        <v>193</v>
      </c>
    </row>
    <row r="19" spans="1:26" x14ac:dyDescent="0.25">
      <c r="A19" s="72" t="s">
        <v>173</v>
      </c>
      <c r="E19" s="72" t="s">
        <v>667</v>
      </c>
      <c r="F19" s="72" t="s">
        <v>817</v>
      </c>
      <c r="H19" s="72" t="s">
        <v>74</v>
      </c>
      <c r="I19" s="72" t="s">
        <v>75</v>
      </c>
      <c r="K19" s="72" t="s">
        <v>76</v>
      </c>
      <c r="L19" s="72" t="s">
        <v>77</v>
      </c>
    </row>
    <row r="20" spans="1:26" x14ac:dyDescent="0.25">
      <c r="A20" s="72" t="s">
        <v>174</v>
      </c>
      <c r="B20" s="72" t="s">
        <v>403</v>
      </c>
      <c r="E20" s="72" t="s">
        <v>404</v>
      </c>
      <c r="F20" s="72" t="s">
        <v>405</v>
      </c>
      <c r="G20" s="72" t="s">
        <v>406</v>
      </c>
      <c r="H20" s="72" t="s">
        <v>818</v>
      </c>
      <c r="I20" s="72" t="s">
        <v>407</v>
      </c>
      <c r="K20" s="72" t="s">
        <v>408</v>
      </c>
      <c r="L20" s="72" t="s">
        <v>409</v>
      </c>
      <c r="R20" s="72" t="s">
        <v>410</v>
      </c>
      <c r="Z20" s="72" t="s">
        <v>411</v>
      </c>
    </row>
    <row r="21" spans="1:26" x14ac:dyDescent="0.25">
      <c r="A21" s="72" t="s">
        <v>173</v>
      </c>
      <c r="E21" s="72" t="s">
        <v>412</v>
      </c>
      <c r="F21" s="72" t="s">
        <v>819</v>
      </c>
      <c r="H21" s="72" t="s">
        <v>74</v>
      </c>
      <c r="I21" s="72" t="s">
        <v>75</v>
      </c>
      <c r="K21" s="72" t="s">
        <v>76</v>
      </c>
      <c r="L21" s="72" t="s">
        <v>77</v>
      </c>
    </row>
    <row r="22" spans="1:26" x14ac:dyDescent="0.25">
      <c r="A22" s="72" t="s">
        <v>174</v>
      </c>
      <c r="B22" s="72" t="s">
        <v>413</v>
      </c>
      <c r="E22" s="72" t="s">
        <v>414</v>
      </c>
      <c r="F22" s="72" t="s">
        <v>415</v>
      </c>
      <c r="G22" s="72" t="s">
        <v>416</v>
      </c>
      <c r="H22" s="72" t="s">
        <v>417</v>
      </c>
      <c r="I22" s="72" t="s">
        <v>418</v>
      </c>
      <c r="K22" s="72" t="s">
        <v>419</v>
      </c>
      <c r="L22" s="72" t="s">
        <v>420</v>
      </c>
      <c r="R22" s="72" t="s">
        <v>421</v>
      </c>
      <c r="Z22" s="72" t="s">
        <v>422</v>
      </c>
    </row>
    <row r="23" spans="1:26" x14ac:dyDescent="0.25">
      <c r="A23" s="72" t="s">
        <v>173</v>
      </c>
      <c r="E23" s="72" t="s">
        <v>820</v>
      </c>
      <c r="F23" s="72" t="s">
        <v>479</v>
      </c>
      <c r="H23" s="72" t="s">
        <v>74</v>
      </c>
      <c r="I23" s="72" t="s">
        <v>75</v>
      </c>
      <c r="K23" s="72" t="s">
        <v>76</v>
      </c>
      <c r="L23" s="72" t="s">
        <v>77</v>
      </c>
    </row>
    <row r="24" spans="1:26" x14ac:dyDescent="0.25">
      <c r="A24" s="72" t="s">
        <v>174</v>
      </c>
      <c r="B24" s="72" t="s">
        <v>424</v>
      </c>
      <c r="E24" s="72" t="s">
        <v>425</v>
      </c>
      <c r="F24" s="72" t="s">
        <v>426</v>
      </c>
      <c r="G24" s="72" t="s">
        <v>427</v>
      </c>
      <c r="H24" s="72" t="s">
        <v>821</v>
      </c>
      <c r="I24" s="72" t="s">
        <v>428</v>
      </c>
      <c r="K24" s="72" t="s">
        <v>429</v>
      </c>
      <c r="L24" s="72" t="s">
        <v>430</v>
      </c>
      <c r="R24" s="72" t="s">
        <v>431</v>
      </c>
      <c r="Z24" s="72" t="s">
        <v>432</v>
      </c>
    </row>
    <row r="25" spans="1:26" x14ac:dyDescent="0.25">
      <c r="D25" s="72" t="s">
        <v>95</v>
      </c>
    </row>
    <row r="26" spans="1:26" x14ac:dyDescent="0.25">
      <c r="F26" s="72" t="s">
        <v>64</v>
      </c>
      <c r="H26" s="72" t="s">
        <v>65</v>
      </c>
      <c r="I26" s="72" t="s">
        <v>66</v>
      </c>
      <c r="K26" s="72" t="s">
        <v>67</v>
      </c>
      <c r="R26" s="72" t="s">
        <v>68</v>
      </c>
      <c r="S26" s="72" t="s">
        <v>69</v>
      </c>
      <c r="T26" s="72" t="s">
        <v>70</v>
      </c>
      <c r="U26" s="72" t="s">
        <v>71</v>
      </c>
      <c r="V26" s="72" t="s">
        <v>72</v>
      </c>
      <c r="W26" s="72" t="s">
        <v>183</v>
      </c>
      <c r="X26" s="72" t="s">
        <v>57</v>
      </c>
      <c r="Y26" s="72" t="s">
        <v>45</v>
      </c>
      <c r="Z26" s="72" t="s">
        <v>64</v>
      </c>
    </row>
    <row r="27" spans="1:26" x14ac:dyDescent="0.25">
      <c r="A27" s="72" t="s">
        <v>6</v>
      </c>
      <c r="E27" s="72" t="s">
        <v>822</v>
      </c>
      <c r="F27" s="72" t="s">
        <v>97</v>
      </c>
      <c r="H27" s="72" t="s">
        <v>74</v>
      </c>
      <c r="I27" s="72" t="s">
        <v>75</v>
      </c>
      <c r="K27" s="72" t="s">
        <v>76</v>
      </c>
      <c r="L27" s="72" t="s">
        <v>77</v>
      </c>
    </row>
    <row r="28" spans="1:26" x14ac:dyDescent="0.25">
      <c r="B28" s="72" t="s">
        <v>823</v>
      </c>
      <c r="E28" s="72" t="s">
        <v>824</v>
      </c>
      <c r="F28" s="72" t="s">
        <v>825</v>
      </c>
      <c r="G28" s="72" t="s">
        <v>826</v>
      </c>
      <c r="H28" s="72" t="s">
        <v>827</v>
      </c>
      <c r="I28" s="72" t="s">
        <v>828</v>
      </c>
      <c r="K28" s="72" t="s">
        <v>829</v>
      </c>
      <c r="L28" s="72" t="s">
        <v>830</v>
      </c>
      <c r="R28" s="72" t="s">
        <v>831</v>
      </c>
      <c r="Z28" s="72" t="s">
        <v>832</v>
      </c>
    </row>
    <row r="29" spans="1:26" x14ac:dyDescent="0.25">
      <c r="A29" s="72" t="s">
        <v>174</v>
      </c>
      <c r="B29" s="72" t="s">
        <v>434</v>
      </c>
      <c r="E29" s="72" t="s">
        <v>435</v>
      </c>
      <c r="F29" s="72" t="s">
        <v>436</v>
      </c>
      <c r="G29" s="72" t="s">
        <v>437</v>
      </c>
      <c r="H29" s="72" t="s">
        <v>833</v>
      </c>
      <c r="I29" s="72" t="s">
        <v>438</v>
      </c>
      <c r="K29" s="72" t="s">
        <v>439</v>
      </c>
      <c r="L29" s="72" t="s">
        <v>440</v>
      </c>
      <c r="R29" s="72" t="s">
        <v>441</v>
      </c>
      <c r="Z29" s="72" t="s">
        <v>442</v>
      </c>
    </row>
    <row r="30" spans="1:26" x14ac:dyDescent="0.25">
      <c r="A30" s="72" t="s">
        <v>174</v>
      </c>
      <c r="B30" s="72" t="s">
        <v>443</v>
      </c>
      <c r="E30" s="72" t="s">
        <v>444</v>
      </c>
      <c r="F30" s="72" t="s">
        <v>445</v>
      </c>
      <c r="G30" s="72" t="s">
        <v>446</v>
      </c>
      <c r="H30" s="72" t="s">
        <v>834</v>
      </c>
      <c r="I30" s="72" t="s">
        <v>447</v>
      </c>
      <c r="K30" s="72" t="s">
        <v>448</v>
      </c>
      <c r="L30" s="72" t="s">
        <v>449</v>
      </c>
      <c r="R30" s="72" t="s">
        <v>450</v>
      </c>
      <c r="Z30" s="72" t="s">
        <v>451</v>
      </c>
    </row>
    <row r="31" spans="1:26" x14ac:dyDescent="0.25">
      <c r="A31" s="72" t="s">
        <v>174</v>
      </c>
      <c r="B31" s="72" t="s">
        <v>452</v>
      </c>
      <c r="E31" s="72" t="s">
        <v>453</v>
      </c>
      <c r="F31" s="72" t="s">
        <v>454</v>
      </c>
      <c r="G31" s="72" t="s">
        <v>455</v>
      </c>
      <c r="H31" s="72" t="s">
        <v>835</v>
      </c>
      <c r="I31" s="72" t="s">
        <v>456</v>
      </c>
      <c r="K31" s="72" t="s">
        <v>457</v>
      </c>
      <c r="L31" s="72" t="s">
        <v>458</v>
      </c>
      <c r="R31" s="72" t="s">
        <v>459</v>
      </c>
      <c r="Z31" s="72" t="s">
        <v>460</v>
      </c>
    </row>
    <row r="32" spans="1:26" x14ac:dyDescent="0.25">
      <c r="A32" s="72" t="s">
        <v>174</v>
      </c>
      <c r="B32" s="72" t="s">
        <v>461</v>
      </c>
      <c r="E32" s="72" t="s">
        <v>462</v>
      </c>
      <c r="F32" s="72" t="s">
        <v>463</v>
      </c>
      <c r="G32" s="72" t="s">
        <v>464</v>
      </c>
      <c r="H32" s="72" t="s">
        <v>836</v>
      </c>
      <c r="I32" s="72" t="s">
        <v>465</v>
      </c>
      <c r="K32" s="72" t="s">
        <v>466</v>
      </c>
      <c r="L32" s="72" t="s">
        <v>467</v>
      </c>
      <c r="R32" s="72" t="s">
        <v>468</v>
      </c>
      <c r="Z32" s="72" t="s">
        <v>469</v>
      </c>
    </row>
    <row r="33" spans="1:26" x14ac:dyDescent="0.25">
      <c r="A33" s="72" t="s">
        <v>174</v>
      </c>
      <c r="B33" s="72" t="s">
        <v>837</v>
      </c>
      <c r="E33" s="72" t="s">
        <v>838</v>
      </c>
      <c r="F33" s="72" t="s">
        <v>839</v>
      </c>
      <c r="G33" s="72" t="s">
        <v>840</v>
      </c>
      <c r="H33" s="72" t="s">
        <v>841</v>
      </c>
      <c r="I33" s="72" t="s">
        <v>842</v>
      </c>
      <c r="K33" s="72" t="s">
        <v>843</v>
      </c>
      <c r="L33" s="72" t="s">
        <v>844</v>
      </c>
      <c r="R33" s="72" t="s">
        <v>845</v>
      </c>
      <c r="Z33" s="72" t="s">
        <v>846</v>
      </c>
    </row>
    <row r="34" spans="1:26" x14ac:dyDescent="0.25">
      <c r="A34" s="72" t="s">
        <v>174</v>
      </c>
      <c r="B34" s="72" t="s">
        <v>470</v>
      </c>
      <c r="E34" s="72" t="s">
        <v>471</v>
      </c>
      <c r="F34" s="72" t="s">
        <v>472</v>
      </c>
      <c r="G34" s="72" t="s">
        <v>473</v>
      </c>
      <c r="H34" s="72" t="s">
        <v>847</v>
      </c>
      <c r="I34" s="72" t="s">
        <v>474</v>
      </c>
      <c r="K34" s="72" t="s">
        <v>475</v>
      </c>
      <c r="L34" s="72" t="s">
        <v>476</v>
      </c>
      <c r="R34" s="72" t="s">
        <v>477</v>
      </c>
      <c r="Z34" s="72" t="s">
        <v>478</v>
      </c>
    </row>
    <row r="35" spans="1:26" x14ac:dyDescent="0.25">
      <c r="A35" s="72" t="s">
        <v>174</v>
      </c>
      <c r="B35" s="72" t="s">
        <v>848</v>
      </c>
      <c r="E35" s="72" t="s">
        <v>849</v>
      </c>
      <c r="F35" s="72" t="s">
        <v>850</v>
      </c>
      <c r="G35" s="72" t="s">
        <v>851</v>
      </c>
      <c r="H35" s="72" t="s">
        <v>852</v>
      </c>
      <c r="I35" s="72" t="s">
        <v>853</v>
      </c>
      <c r="K35" s="72" t="s">
        <v>854</v>
      </c>
      <c r="L35" s="72" t="s">
        <v>855</v>
      </c>
      <c r="R35" s="72" t="s">
        <v>856</v>
      </c>
      <c r="Z35" s="72" t="s">
        <v>857</v>
      </c>
    </row>
    <row r="36" spans="1:26" x14ac:dyDescent="0.25">
      <c r="A36" s="72" t="s">
        <v>174</v>
      </c>
      <c r="B36" s="72" t="s">
        <v>480</v>
      </c>
      <c r="E36" s="72" t="s">
        <v>481</v>
      </c>
      <c r="F36" s="72" t="s">
        <v>482</v>
      </c>
      <c r="G36" s="72" t="s">
        <v>483</v>
      </c>
      <c r="H36" s="72" t="s">
        <v>858</v>
      </c>
      <c r="I36" s="72" t="s">
        <v>484</v>
      </c>
      <c r="K36" s="72" t="s">
        <v>485</v>
      </c>
      <c r="L36" s="72" t="s">
        <v>486</v>
      </c>
      <c r="R36" s="72" t="s">
        <v>487</v>
      </c>
      <c r="Z36" s="72" t="s">
        <v>488</v>
      </c>
    </row>
    <row r="37" spans="1:26" x14ac:dyDescent="0.25">
      <c r="A37" s="72" t="s">
        <v>174</v>
      </c>
      <c r="B37" s="72" t="s">
        <v>489</v>
      </c>
      <c r="E37" s="72" t="s">
        <v>490</v>
      </c>
      <c r="F37" s="72" t="s">
        <v>491</v>
      </c>
      <c r="G37" s="72" t="s">
        <v>492</v>
      </c>
      <c r="H37" s="72" t="s">
        <v>859</v>
      </c>
      <c r="I37" s="72" t="s">
        <v>494</v>
      </c>
      <c r="K37" s="72" t="s">
        <v>495</v>
      </c>
      <c r="L37" s="72" t="s">
        <v>496</v>
      </c>
      <c r="R37" s="72" t="s">
        <v>497</v>
      </c>
      <c r="Z37" s="72" t="s">
        <v>498</v>
      </c>
    </row>
    <row r="38" spans="1:26" x14ac:dyDescent="0.25">
      <c r="A38" s="72" t="s">
        <v>174</v>
      </c>
      <c r="B38" s="72" t="s">
        <v>499</v>
      </c>
      <c r="E38" s="72" t="s">
        <v>500</v>
      </c>
      <c r="F38" s="72" t="s">
        <v>501</v>
      </c>
      <c r="G38" s="72" t="s">
        <v>502</v>
      </c>
      <c r="H38" s="72" t="s">
        <v>518</v>
      </c>
      <c r="I38" s="72" t="s">
        <v>503</v>
      </c>
      <c r="K38" s="72" t="s">
        <v>504</v>
      </c>
      <c r="L38" s="72" t="s">
        <v>505</v>
      </c>
      <c r="R38" s="72" t="s">
        <v>506</v>
      </c>
      <c r="Z38" s="72" t="s">
        <v>507</v>
      </c>
    </row>
    <row r="39" spans="1:26" x14ac:dyDescent="0.25">
      <c r="A39" s="72" t="s">
        <v>174</v>
      </c>
      <c r="B39" s="72" t="s">
        <v>508</v>
      </c>
      <c r="E39" s="72" t="s">
        <v>509</v>
      </c>
      <c r="F39" s="72" t="s">
        <v>510</v>
      </c>
      <c r="G39" s="72" t="s">
        <v>511</v>
      </c>
      <c r="H39" s="72" t="s">
        <v>860</v>
      </c>
      <c r="I39" s="72" t="s">
        <v>512</v>
      </c>
      <c r="K39" s="72" t="s">
        <v>513</v>
      </c>
      <c r="L39" s="72" t="s">
        <v>514</v>
      </c>
      <c r="R39" s="72" t="s">
        <v>515</v>
      </c>
      <c r="Z39" s="72" t="s">
        <v>516</v>
      </c>
    </row>
    <row r="40" spans="1:26" x14ac:dyDescent="0.25">
      <c r="A40" s="72" t="s">
        <v>174</v>
      </c>
      <c r="B40" s="72" t="s">
        <v>861</v>
      </c>
      <c r="E40" s="72" t="s">
        <v>862</v>
      </c>
      <c r="F40" s="72" t="s">
        <v>863</v>
      </c>
      <c r="G40" s="72" t="s">
        <v>864</v>
      </c>
      <c r="H40" s="72" t="s">
        <v>865</v>
      </c>
      <c r="I40" s="72" t="s">
        <v>866</v>
      </c>
      <c r="K40" s="72" t="s">
        <v>867</v>
      </c>
      <c r="L40" s="72" t="s">
        <v>868</v>
      </c>
      <c r="R40" s="72" t="s">
        <v>869</v>
      </c>
      <c r="Z40" s="72" t="s">
        <v>870</v>
      </c>
    </row>
    <row r="41" spans="1:26" x14ac:dyDescent="0.25">
      <c r="A41" s="72" t="s">
        <v>174</v>
      </c>
      <c r="B41" s="72" t="s">
        <v>871</v>
      </c>
      <c r="E41" s="72" t="s">
        <v>872</v>
      </c>
      <c r="F41" s="72" t="s">
        <v>873</v>
      </c>
      <c r="G41" s="72" t="s">
        <v>874</v>
      </c>
      <c r="H41" s="72" t="s">
        <v>519</v>
      </c>
      <c r="I41" s="72" t="s">
        <v>875</v>
      </c>
      <c r="K41" s="72" t="s">
        <v>876</v>
      </c>
      <c r="L41" s="72" t="s">
        <v>877</v>
      </c>
      <c r="R41" s="72" t="s">
        <v>878</v>
      </c>
      <c r="Z41" s="72" t="s">
        <v>879</v>
      </c>
    </row>
    <row r="42" spans="1:26" x14ac:dyDescent="0.25">
      <c r="A42" s="72" t="s">
        <v>174</v>
      </c>
      <c r="B42" s="72" t="s">
        <v>880</v>
      </c>
      <c r="E42" s="72" t="s">
        <v>881</v>
      </c>
      <c r="F42" s="72" t="s">
        <v>882</v>
      </c>
      <c r="G42" s="72" t="s">
        <v>883</v>
      </c>
      <c r="H42" s="72" t="s">
        <v>884</v>
      </c>
      <c r="I42" s="72" t="s">
        <v>885</v>
      </c>
      <c r="K42" s="72" t="s">
        <v>886</v>
      </c>
      <c r="L42" s="72" t="s">
        <v>887</v>
      </c>
      <c r="R42" s="72" t="s">
        <v>888</v>
      </c>
      <c r="Z42" s="72" t="s">
        <v>889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/>
  </sheetViews>
  <sheetFormatPr defaultRowHeight="15" x14ac:dyDescent="0.25"/>
  <sheetData>
    <row r="1" spans="1:25" x14ac:dyDescent="0.25">
      <c r="A1" s="72" t="s">
        <v>1553</v>
      </c>
      <c r="B1" s="72" t="s">
        <v>11</v>
      </c>
      <c r="C1" s="72" t="s">
        <v>6</v>
      </c>
      <c r="E1" s="72" t="s">
        <v>6</v>
      </c>
      <c r="F1" s="72" t="s">
        <v>19</v>
      </c>
      <c r="G1" s="72" t="s">
        <v>6</v>
      </c>
      <c r="H1" s="72" t="s">
        <v>30</v>
      </c>
      <c r="I1" s="72" t="s">
        <v>30</v>
      </c>
      <c r="J1" s="72" t="s">
        <v>6</v>
      </c>
      <c r="K1" s="72" t="s">
        <v>19</v>
      </c>
      <c r="L1" s="72" t="s">
        <v>19</v>
      </c>
      <c r="M1" s="72" t="s">
        <v>6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30</v>
      </c>
      <c r="T1" s="72" t="s">
        <v>30</v>
      </c>
      <c r="U1" s="72" t="s">
        <v>30</v>
      </c>
      <c r="V1" s="72" t="s">
        <v>30</v>
      </c>
      <c r="W1" s="72" t="s">
        <v>30</v>
      </c>
      <c r="X1" s="72" t="s">
        <v>30</v>
      </c>
      <c r="Y1" s="72" t="s">
        <v>30</v>
      </c>
    </row>
    <row r="2" spans="1:25" x14ac:dyDescent="0.25">
      <c r="A2" s="72" t="s">
        <v>6</v>
      </c>
      <c r="B2" s="72" t="s">
        <v>62</v>
      </c>
      <c r="C2" s="72" t="s">
        <v>80</v>
      </c>
    </row>
    <row r="3" spans="1:25" x14ac:dyDescent="0.25">
      <c r="A3" s="72" t="s">
        <v>6</v>
      </c>
      <c r="B3" s="72" t="s">
        <v>63</v>
      </c>
      <c r="C3" s="72" t="s">
        <v>81</v>
      </c>
    </row>
    <row r="4" spans="1:25" x14ac:dyDescent="0.25">
      <c r="A4" s="72" t="s">
        <v>6</v>
      </c>
    </row>
    <row r="5" spans="1:25" x14ac:dyDescent="0.25">
      <c r="A5" s="72" t="s">
        <v>6</v>
      </c>
    </row>
    <row r="6" spans="1:25" x14ac:dyDescent="0.25">
      <c r="D6" s="72" t="s">
        <v>108</v>
      </c>
    </row>
    <row r="8" spans="1:25" x14ac:dyDescent="0.25">
      <c r="D8" s="72" t="s">
        <v>60</v>
      </c>
    </row>
    <row r="9" spans="1:25" x14ac:dyDescent="0.25">
      <c r="F9" s="72" t="s">
        <v>64</v>
      </c>
      <c r="H9" s="72" t="s">
        <v>65</v>
      </c>
      <c r="I9" s="72" t="s">
        <v>66</v>
      </c>
      <c r="K9" s="72" t="s">
        <v>67</v>
      </c>
      <c r="R9" s="72" t="s">
        <v>68</v>
      </c>
      <c r="S9" s="72" t="s">
        <v>69</v>
      </c>
      <c r="T9" s="72" t="s">
        <v>70</v>
      </c>
      <c r="U9" s="72" t="s">
        <v>71</v>
      </c>
      <c r="V9" s="72" t="s">
        <v>72</v>
      </c>
      <c r="W9" s="72" t="s">
        <v>73</v>
      </c>
      <c r="X9" s="72" t="s">
        <v>64</v>
      </c>
      <c r="Y9" s="72" t="s">
        <v>78</v>
      </c>
    </row>
    <row r="10" spans="1:25" x14ac:dyDescent="0.25">
      <c r="A10" s="72" t="s">
        <v>6</v>
      </c>
      <c r="E10" s="72" t="s">
        <v>83</v>
      </c>
      <c r="F10" s="72" t="s">
        <v>84</v>
      </c>
      <c r="H10" s="72" t="s">
        <v>74</v>
      </c>
      <c r="I10" s="72" t="s">
        <v>75</v>
      </c>
      <c r="K10" s="72" t="s">
        <v>76</v>
      </c>
      <c r="L10" s="72" t="s">
        <v>77</v>
      </c>
    </row>
    <row r="11" spans="1:25" x14ac:dyDescent="0.25">
      <c r="B11" s="72" t="s">
        <v>109</v>
      </c>
      <c r="E11" s="72" t="s">
        <v>86</v>
      </c>
      <c r="F11" s="72" t="s">
        <v>87</v>
      </c>
      <c r="G11" s="72" t="s">
        <v>88</v>
      </c>
      <c r="H11" s="72" t="s">
        <v>89</v>
      </c>
      <c r="I11" s="72" t="s">
        <v>90</v>
      </c>
      <c r="K11" s="72" t="s">
        <v>91</v>
      </c>
      <c r="L11" s="72" t="s">
        <v>92</v>
      </c>
      <c r="R11" s="72" t="s">
        <v>93</v>
      </c>
      <c r="X11" s="72" t="s">
        <v>94</v>
      </c>
    </row>
    <row r="12" spans="1:25" x14ac:dyDescent="0.25">
      <c r="A12" s="72" t="s">
        <v>174</v>
      </c>
      <c r="B12" s="72" t="s">
        <v>890</v>
      </c>
      <c r="E12" s="72" t="s">
        <v>795</v>
      </c>
      <c r="F12" s="72" t="s">
        <v>796</v>
      </c>
      <c r="G12" s="72" t="s">
        <v>797</v>
      </c>
      <c r="H12" s="72" t="s">
        <v>798</v>
      </c>
      <c r="I12" s="72" t="s">
        <v>799</v>
      </c>
      <c r="K12" s="72" t="s">
        <v>800</v>
      </c>
      <c r="L12" s="72" t="s">
        <v>801</v>
      </c>
      <c r="R12" s="72" t="s">
        <v>802</v>
      </c>
      <c r="X12" s="72" t="s">
        <v>803</v>
      </c>
    </row>
    <row r="13" spans="1:25" x14ac:dyDescent="0.25">
      <c r="A13" s="72" t="s">
        <v>174</v>
      </c>
      <c r="B13" s="72" t="s">
        <v>520</v>
      </c>
      <c r="E13" s="72" t="s">
        <v>138</v>
      </c>
      <c r="F13" s="72" t="s">
        <v>387</v>
      </c>
      <c r="G13" s="72" t="s">
        <v>388</v>
      </c>
      <c r="H13" s="72" t="s">
        <v>804</v>
      </c>
      <c r="I13" s="72" t="s">
        <v>389</v>
      </c>
      <c r="K13" s="72" t="s">
        <v>390</v>
      </c>
      <c r="L13" s="72" t="s">
        <v>391</v>
      </c>
      <c r="R13" s="72" t="s">
        <v>392</v>
      </c>
      <c r="X13" s="72" t="s">
        <v>393</v>
      </c>
    </row>
    <row r="14" spans="1:25" x14ac:dyDescent="0.25">
      <c r="A14" s="72" t="s">
        <v>173</v>
      </c>
      <c r="E14" s="72" t="s">
        <v>96</v>
      </c>
      <c r="F14" s="72" t="s">
        <v>805</v>
      </c>
      <c r="H14" s="72" t="s">
        <v>74</v>
      </c>
      <c r="I14" s="72" t="s">
        <v>75</v>
      </c>
      <c r="K14" s="72" t="s">
        <v>76</v>
      </c>
      <c r="L14" s="72" t="s">
        <v>77</v>
      </c>
    </row>
    <row r="15" spans="1:25" x14ac:dyDescent="0.25">
      <c r="A15" s="72" t="s">
        <v>174</v>
      </c>
      <c r="B15" s="72" t="s">
        <v>110</v>
      </c>
      <c r="E15" s="72" t="s">
        <v>99</v>
      </c>
      <c r="F15" s="72" t="s">
        <v>100</v>
      </c>
      <c r="G15" s="72" t="s">
        <v>101</v>
      </c>
      <c r="H15" s="72" t="s">
        <v>102</v>
      </c>
      <c r="I15" s="72" t="s">
        <v>103</v>
      </c>
      <c r="K15" s="72" t="s">
        <v>104</v>
      </c>
      <c r="L15" s="72" t="s">
        <v>105</v>
      </c>
      <c r="R15" s="72" t="s">
        <v>106</v>
      </c>
      <c r="X15" s="72" t="s">
        <v>107</v>
      </c>
    </row>
    <row r="16" spans="1:25" x14ac:dyDescent="0.25">
      <c r="A16" s="72" t="s">
        <v>174</v>
      </c>
      <c r="B16" s="72" t="s">
        <v>891</v>
      </c>
      <c r="E16" s="72" t="s">
        <v>201</v>
      </c>
      <c r="F16" s="72" t="s">
        <v>807</v>
      </c>
      <c r="G16" s="72" t="s">
        <v>808</v>
      </c>
      <c r="H16" s="72" t="s">
        <v>809</v>
      </c>
      <c r="I16" s="72" t="s">
        <v>810</v>
      </c>
      <c r="K16" s="72" t="s">
        <v>811</v>
      </c>
      <c r="L16" s="72" t="s">
        <v>812</v>
      </c>
      <c r="R16" s="72" t="s">
        <v>813</v>
      </c>
      <c r="X16" s="72" t="s">
        <v>814</v>
      </c>
    </row>
    <row r="17" spans="1:25" x14ac:dyDescent="0.25">
      <c r="A17" s="72" t="s">
        <v>174</v>
      </c>
      <c r="B17" s="72" t="s">
        <v>521</v>
      </c>
      <c r="E17" s="72" t="s">
        <v>181</v>
      </c>
      <c r="F17" s="72" t="s">
        <v>395</v>
      </c>
      <c r="G17" s="72" t="s">
        <v>396</v>
      </c>
      <c r="H17" s="72" t="s">
        <v>815</v>
      </c>
      <c r="I17" s="72" t="s">
        <v>397</v>
      </c>
      <c r="K17" s="72" t="s">
        <v>398</v>
      </c>
      <c r="L17" s="72" t="s">
        <v>399</v>
      </c>
      <c r="R17" s="72" t="s">
        <v>400</v>
      </c>
      <c r="X17" s="72" t="s">
        <v>401</v>
      </c>
    </row>
    <row r="18" spans="1:25" x14ac:dyDescent="0.25">
      <c r="A18" s="72" t="s">
        <v>174</v>
      </c>
      <c r="B18" s="72" t="s">
        <v>194</v>
      </c>
      <c r="E18" s="72" t="s">
        <v>186</v>
      </c>
      <c r="F18" s="72" t="s">
        <v>187</v>
      </c>
      <c r="G18" s="72" t="s">
        <v>188</v>
      </c>
      <c r="H18" s="72" t="s">
        <v>816</v>
      </c>
      <c r="I18" s="72" t="s">
        <v>189</v>
      </c>
      <c r="K18" s="72" t="s">
        <v>190</v>
      </c>
      <c r="L18" s="72" t="s">
        <v>191</v>
      </c>
      <c r="R18" s="72" t="s">
        <v>192</v>
      </c>
      <c r="X18" s="72" t="s">
        <v>193</v>
      </c>
    </row>
    <row r="19" spans="1:25" x14ac:dyDescent="0.25">
      <c r="A19" s="72" t="s">
        <v>173</v>
      </c>
      <c r="E19" s="72" t="s">
        <v>667</v>
      </c>
      <c r="F19" s="72" t="s">
        <v>817</v>
      </c>
      <c r="H19" s="72" t="s">
        <v>74</v>
      </c>
      <c r="I19" s="72" t="s">
        <v>75</v>
      </c>
      <c r="K19" s="72" t="s">
        <v>76</v>
      </c>
      <c r="L19" s="72" t="s">
        <v>77</v>
      </c>
    </row>
    <row r="20" spans="1:25" x14ac:dyDescent="0.25">
      <c r="A20" s="72" t="s">
        <v>174</v>
      </c>
      <c r="B20" s="72" t="s">
        <v>522</v>
      </c>
      <c r="E20" s="72" t="s">
        <v>404</v>
      </c>
      <c r="F20" s="72" t="s">
        <v>405</v>
      </c>
      <c r="G20" s="72" t="s">
        <v>406</v>
      </c>
      <c r="H20" s="72" t="s">
        <v>818</v>
      </c>
      <c r="I20" s="72" t="s">
        <v>407</v>
      </c>
      <c r="K20" s="72" t="s">
        <v>408</v>
      </c>
      <c r="L20" s="72" t="s">
        <v>409</v>
      </c>
      <c r="R20" s="72" t="s">
        <v>410</v>
      </c>
      <c r="X20" s="72" t="s">
        <v>411</v>
      </c>
    </row>
    <row r="21" spans="1:25" x14ac:dyDescent="0.25">
      <c r="A21" s="72" t="s">
        <v>173</v>
      </c>
      <c r="E21" s="72" t="s">
        <v>412</v>
      </c>
      <c r="F21" s="72" t="s">
        <v>819</v>
      </c>
      <c r="H21" s="72" t="s">
        <v>74</v>
      </c>
      <c r="I21" s="72" t="s">
        <v>75</v>
      </c>
      <c r="K21" s="72" t="s">
        <v>76</v>
      </c>
      <c r="L21" s="72" t="s">
        <v>77</v>
      </c>
    </row>
    <row r="22" spans="1:25" x14ac:dyDescent="0.25">
      <c r="A22" s="72" t="s">
        <v>174</v>
      </c>
      <c r="B22" s="72" t="s">
        <v>523</v>
      </c>
      <c r="E22" s="72" t="s">
        <v>414</v>
      </c>
      <c r="F22" s="72" t="s">
        <v>415</v>
      </c>
      <c r="G22" s="72" t="s">
        <v>416</v>
      </c>
      <c r="H22" s="72" t="s">
        <v>417</v>
      </c>
      <c r="I22" s="72" t="s">
        <v>418</v>
      </c>
      <c r="K22" s="72" t="s">
        <v>419</v>
      </c>
      <c r="L22" s="72" t="s">
        <v>420</v>
      </c>
      <c r="R22" s="72" t="s">
        <v>421</v>
      </c>
      <c r="X22" s="72" t="s">
        <v>422</v>
      </c>
    </row>
    <row r="23" spans="1:25" x14ac:dyDescent="0.25">
      <c r="A23" s="72" t="s">
        <v>173</v>
      </c>
      <c r="E23" s="72" t="s">
        <v>820</v>
      </c>
      <c r="F23" s="72" t="s">
        <v>479</v>
      </c>
      <c r="H23" s="72" t="s">
        <v>74</v>
      </c>
      <c r="I23" s="72" t="s">
        <v>75</v>
      </c>
      <c r="K23" s="72" t="s">
        <v>76</v>
      </c>
      <c r="L23" s="72" t="s">
        <v>77</v>
      </c>
    </row>
    <row r="24" spans="1:25" x14ac:dyDescent="0.25">
      <c r="A24" s="72" t="s">
        <v>174</v>
      </c>
      <c r="B24" s="72" t="s">
        <v>524</v>
      </c>
      <c r="E24" s="72" t="s">
        <v>425</v>
      </c>
      <c r="F24" s="72" t="s">
        <v>426</v>
      </c>
      <c r="G24" s="72" t="s">
        <v>427</v>
      </c>
      <c r="H24" s="72" t="s">
        <v>821</v>
      </c>
      <c r="I24" s="72" t="s">
        <v>428</v>
      </c>
      <c r="K24" s="72" t="s">
        <v>429</v>
      </c>
      <c r="L24" s="72" t="s">
        <v>430</v>
      </c>
      <c r="R24" s="72" t="s">
        <v>431</v>
      </c>
      <c r="X24" s="72" t="s">
        <v>432</v>
      </c>
    </row>
    <row r="25" spans="1:25" x14ac:dyDescent="0.25">
      <c r="D25" s="72" t="s">
        <v>61</v>
      </c>
    </row>
    <row r="26" spans="1:25" x14ac:dyDescent="0.25">
      <c r="F26" s="72" t="s">
        <v>64</v>
      </c>
      <c r="H26" s="72" t="s">
        <v>65</v>
      </c>
      <c r="I26" s="72" t="s">
        <v>66</v>
      </c>
      <c r="K26" s="72" t="s">
        <v>67</v>
      </c>
      <c r="R26" s="72" t="s">
        <v>68</v>
      </c>
      <c r="S26" s="72" t="s">
        <v>69</v>
      </c>
      <c r="T26" s="72" t="s">
        <v>70</v>
      </c>
      <c r="U26" s="72" t="s">
        <v>71</v>
      </c>
      <c r="V26" s="72" t="s">
        <v>72</v>
      </c>
      <c r="W26" s="72" t="s">
        <v>73</v>
      </c>
      <c r="X26" s="72" t="s">
        <v>64</v>
      </c>
      <c r="Y26" s="72" t="s">
        <v>78</v>
      </c>
    </row>
    <row r="27" spans="1:25" x14ac:dyDescent="0.25">
      <c r="A27" s="72" t="s">
        <v>6</v>
      </c>
      <c r="E27" s="72" t="s">
        <v>822</v>
      </c>
      <c r="F27" s="72" t="s">
        <v>97</v>
      </c>
      <c r="H27" s="72" t="s">
        <v>74</v>
      </c>
      <c r="I27" s="72" t="s">
        <v>75</v>
      </c>
      <c r="K27" s="72" t="s">
        <v>76</v>
      </c>
      <c r="L27" s="72" t="s">
        <v>77</v>
      </c>
    </row>
    <row r="28" spans="1:25" x14ac:dyDescent="0.25">
      <c r="B28" s="72" t="s">
        <v>892</v>
      </c>
      <c r="E28" s="72" t="s">
        <v>824</v>
      </c>
      <c r="F28" s="72" t="s">
        <v>825</v>
      </c>
      <c r="G28" s="72" t="s">
        <v>826</v>
      </c>
      <c r="H28" s="72" t="s">
        <v>827</v>
      </c>
      <c r="I28" s="72" t="s">
        <v>828</v>
      </c>
      <c r="K28" s="72" t="s">
        <v>829</v>
      </c>
      <c r="L28" s="72" t="s">
        <v>830</v>
      </c>
      <c r="R28" s="72" t="s">
        <v>831</v>
      </c>
      <c r="X28" s="72" t="s">
        <v>832</v>
      </c>
    </row>
    <row r="29" spans="1:25" x14ac:dyDescent="0.25">
      <c r="A29" s="72" t="s">
        <v>174</v>
      </c>
      <c r="B29" s="72" t="s">
        <v>525</v>
      </c>
      <c r="E29" s="72" t="s">
        <v>435</v>
      </c>
      <c r="F29" s="72" t="s">
        <v>436</v>
      </c>
      <c r="G29" s="72" t="s">
        <v>437</v>
      </c>
      <c r="H29" s="72" t="s">
        <v>833</v>
      </c>
      <c r="I29" s="72" t="s">
        <v>438</v>
      </c>
      <c r="K29" s="72" t="s">
        <v>439</v>
      </c>
      <c r="L29" s="72" t="s">
        <v>440</v>
      </c>
      <c r="R29" s="72" t="s">
        <v>441</v>
      </c>
      <c r="X29" s="72" t="s">
        <v>442</v>
      </c>
    </row>
    <row r="30" spans="1:25" x14ac:dyDescent="0.25">
      <c r="A30" s="72" t="s">
        <v>174</v>
      </c>
      <c r="B30" s="72" t="s">
        <v>526</v>
      </c>
      <c r="E30" s="72" t="s">
        <v>444</v>
      </c>
      <c r="F30" s="72" t="s">
        <v>445</v>
      </c>
      <c r="G30" s="72" t="s">
        <v>446</v>
      </c>
      <c r="H30" s="72" t="s">
        <v>834</v>
      </c>
      <c r="I30" s="72" t="s">
        <v>447</v>
      </c>
      <c r="K30" s="72" t="s">
        <v>448</v>
      </c>
      <c r="L30" s="72" t="s">
        <v>449</v>
      </c>
      <c r="R30" s="72" t="s">
        <v>450</v>
      </c>
      <c r="X30" s="72" t="s">
        <v>451</v>
      </c>
    </row>
    <row r="31" spans="1:25" x14ac:dyDescent="0.25">
      <c r="A31" s="72" t="s">
        <v>174</v>
      </c>
      <c r="B31" s="72" t="s">
        <v>527</v>
      </c>
      <c r="E31" s="72" t="s">
        <v>453</v>
      </c>
      <c r="F31" s="72" t="s">
        <v>454</v>
      </c>
      <c r="G31" s="72" t="s">
        <v>455</v>
      </c>
      <c r="H31" s="72" t="s">
        <v>835</v>
      </c>
      <c r="I31" s="72" t="s">
        <v>456</v>
      </c>
      <c r="K31" s="72" t="s">
        <v>457</v>
      </c>
      <c r="L31" s="72" t="s">
        <v>458</v>
      </c>
      <c r="R31" s="72" t="s">
        <v>459</v>
      </c>
      <c r="X31" s="72" t="s">
        <v>460</v>
      </c>
    </row>
    <row r="32" spans="1:25" x14ac:dyDescent="0.25">
      <c r="A32" s="72" t="s">
        <v>174</v>
      </c>
      <c r="B32" s="72" t="s">
        <v>528</v>
      </c>
      <c r="E32" s="72" t="s">
        <v>462</v>
      </c>
      <c r="F32" s="72" t="s">
        <v>463</v>
      </c>
      <c r="G32" s="72" t="s">
        <v>464</v>
      </c>
      <c r="H32" s="72" t="s">
        <v>836</v>
      </c>
      <c r="I32" s="72" t="s">
        <v>465</v>
      </c>
      <c r="K32" s="72" t="s">
        <v>466</v>
      </c>
      <c r="L32" s="72" t="s">
        <v>467</v>
      </c>
      <c r="R32" s="72" t="s">
        <v>468</v>
      </c>
      <c r="X32" s="72" t="s">
        <v>469</v>
      </c>
    </row>
    <row r="33" spans="1:24" x14ac:dyDescent="0.25">
      <c r="A33" s="72" t="s">
        <v>174</v>
      </c>
      <c r="B33" s="72" t="s">
        <v>893</v>
      </c>
      <c r="E33" s="72" t="s">
        <v>838</v>
      </c>
      <c r="F33" s="72" t="s">
        <v>839</v>
      </c>
      <c r="G33" s="72" t="s">
        <v>840</v>
      </c>
      <c r="H33" s="72" t="s">
        <v>841</v>
      </c>
      <c r="I33" s="72" t="s">
        <v>842</v>
      </c>
      <c r="K33" s="72" t="s">
        <v>843</v>
      </c>
      <c r="L33" s="72" t="s">
        <v>844</v>
      </c>
      <c r="R33" s="72" t="s">
        <v>845</v>
      </c>
      <c r="X33" s="72" t="s">
        <v>846</v>
      </c>
    </row>
    <row r="34" spans="1:24" x14ac:dyDescent="0.25">
      <c r="A34" s="72" t="s">
        <v>174</v>
      </c>
      <c r="B34" s="72" t="s">
        <v>529</v>
      </c>
      <c r="E34" s="72" t="s">
        <v>471</v>
      </c>
      <c r="F34" s="72" t="s">
        <v>472</v>
      </c>
      <c r="G34" s="72" t="s">
        <v>473</v>
      </c>
      <c r="H34" s="72" t="s">
        <v>847</v>
      </c>
      <c r="I34" s="72" t="s">
        <v>474</v>
      </c>
      <c r="K34" s="72" t="s">
        <v>475</v>
      </c>
      <c r="L34" s="72" t="s">
        <v>476</v>
      </c>
      <c r="R34" s="72" t="s">
        <v>477</v>
      </c>
      <c r="X34" s="72" t="s">
        <v>478</v>
      </c>
    </row>
    <row r="35" spans="1:24" x14ac:dyDescent="0.25">
      <c r="A35" s="72" t="s">
        <v>174</v>
      </c>
      <c r="B35" s="72" t="s">
        <v>894</v>
      </c>
      <c r="E35" s="72" t="s">
        <v>849</v>
      </c>
      <c r="F35" s="72" t="s">
        <v>850</v>
      </c>
      <c r="G35" s="72" t="s">
        <v>851</v>
      </c>
      <c r="H35" s="72" t="s">
        <v>852</v>
      </c>
      <c r="I35" s="72" t="s">
        <v>853</v>
      </c>
      <c r="K35" s="72" t="s">
        <v>854</v>
      </c>
      <c r="L35" s="72" t="s">
        <v>855</v>
      </c>
      <c r="R35" s="72" t="s">
        <v>856</v>
      </c>
      <c r="X35" s="72" t="s">
        <v>857</v>
      </c>
    </row>
    <row r="36" spans="1:24" x14ac:dyDescent="0.25">
      <c r="A36" s="72" t="s">
        <v>174</v>
      </c>
      <c r="B36" s="72" t="s">
        <v>530</v>
      </c>
      <c r="E36" s="72" t="s">
        <v>481</v>
      </c>
      <c r="F36" s="72" t="s">
        <v>482</v>
      </c>
      <c r="G36" s="72" t="s">
        <v>483</v>
      </c>
      <c r="H36" s="72" t="s">
        <v>858</v>
      </c>
      <c r="I36" s="72" t="s">
        <v>484</v>
      </c>
      <c r="K36" s="72" t="s">
        <v>485</v>
      </c>
      <c r="L36" s="72" t="s">
        <v>486</v>
      </c>
      <c r="R36" s="72" t="s">
        <v>487</v>
      </c>
      <c r="X36" s="72" t="s">
        <v>488</v>
      </c>
    </row>
    <row r="37" spans="1:24" x14ac:dyDescent="0.25">
      <c r="A37" s="72" t="s">
        <v>174</v>
      </c>
      <c r="B37" s="72" t="s">
        <v>531</v>
      </c>
      <c r="E37" s="72" t="s">
        <v>490</v>
      </c>
      <c r="F37" s="72" t="s">
        <v>491</v>
      </c>
      <c r="G37" s="72" t="s">
        <v>492</v>
      </c>
      <c r="H37" s="72" t="s">
        <v>859</v>
      </c>
      <c r="I37" s="72" t="s">
        <v>494</v>
      </c>
      <c r="K37" s="72" t="s">
        <v>495</v>
      </c>
      <c r="L37" s="72" t="s">
        <v>496</v>
      </c>
      <c r="R37" s="72" t="s">
        <v>497</v>
      </c>
      <c r="X37" s="72" t="s">
        <v>498</v>
      </c>
    </row>
    <row r="38" spans="1:24" x14ac:dyDescent="0.25">
      <c r="A38" s="72" t="s">
        <v>174</v>
      </c>
      <c r="B38" s="72" t="s">
        <v>532</v>
      </c>
      <c r="E38" s="72" t="s">
        <v>500</v>
      </c>
      <c r="F38" s="72" t="s">
        <v>501</v>
      </c>
      <c r="G38" s="72" t="s">
        <v>502</v>
      </c>
      <c r="H38" s="72" t="s">
        <v>518</v>
      </c>
      <c r="I38" s="72" t="s">
        <v>503</v>
      </c>
      <c r="K38" s="72" t="s">
        <v>504</v>
      </c>
      <c r="L38" s="72" t="s">
        <v>505</v>
      </c>
      <c r="R38" s="72" t="s">
        <v>506</v>
      </c>
      <c r="X38" s="72" t="s">
        <v>507</v>
      </c>
    </row>
    <row r="39" spans="1:24" x14ac:dyDescent="0.25">
      <c r="A39" s="72" t="s">
        <v>174</v>
      </c>
      <c r="B39" s="72" t="s">
        <v>533</v>
      </c>
      <c r="E39" s="72" t="s">
        <v>509</v>
      </c>
      <c r="F39" s="72" t="s">
        <v>510</v>
      </c>
      <c r="G39" s="72" t="s">
        <v>511</v>
      </c>
      <c r="H39" s="72" t="s">
        <v>860</v>
      </c>
      <c r="I39" s="72" t="s">
        <v>512</v>
      </c>
      <c r="K39" s="72" t="s">
        <v>513</v>
      </c>
      <c r="L39" s="72" t="s">
        <v>514</v>
      </c>
      <c r="R39" s="72" t="s">
        <v>515</v>
      </c>
      <c r="X39" s="72" t="s">
        <v>516</v>
      </c>
    </row>
    <row r="40" spans="1:24" x14ac:dyDescent="0.25">
      <c r="A40" s="72" t="s">
        <v>174</v>
      </c>
      <c r="B40" s="72" t="s">
        <v>895</v>
      </c>
      <c r="E40" s="72" t="s">
        <v>862</v>
      </c>
      <c r="F40" s="72" t="s">
        <v>863</v>
      </c>
      <c r="G40" s="72" t="s">
        <v>864</v>
      </c>
      <c r="H40" s="72" t="s">
        <v>865</v>
      </c>
      <c r="I40" s="72" t="s">
        <v>866</v>
      </c>
      <c r="K40" s="72" t="s">
        <v>867</v>
      </c>
      <c r="L40" s="72" t="s">
        <v>868</v>
      </c>
      <c r="R40" s="72" t="s">
        <v>869</v>
      </c>
      <c r="X40" s="72" t="s">
        <v>870</v>
      </c>
    </row>
    <row r="41" spans="1:24" x14ac:dyDescent="0.25">
      <c r="A41" s="72" t="s">
        <v>174</v>
      </c>
      <c r="B41" s="72" t="s">
        <v>896</v>
      </c>
      <c r="E41" s="72" t="s">
        <v>872</v>
      </c>
      <c r="F41" s="72" t="s">
        <v>873</v>
      </c>
      <c r="G41" s="72" t="s">
        <v>874</v>
      </c>
      <c r="H41" s="72" t="s">
        <v>519</v>
      </c>
      <c r="I41" s="72" t="s">
        <v>875</v>
      </c>
      <c r="K41" s="72" t="s">
        <v>876</v>
      </c>
      <c r="L41" s="72" t="s">
        <v>877</v>
      </c>
      <c r="R41" s="72" t="s">
        <v>878</v>
      </c>
      <c r="X41" s="72" t="s">
        <v>879</v>
      </c>
    </row>
    <row r="42" spans="1:24" x14ac:dyDescent="0.25">
      <c r="A42" s="72" t="s">
        <v>174</v>
      </c>
      <c r="B42" s="72" t="s">
        <v>897</v>
      </c>
      <c r="E42" s="72" t="s">
        <v>881</v>
      </c>
      <c r="F42" s="72" t="s">
        <v>882</v>
      </c>
      <c r="G42" s="72" t="s">
        <v>883</v>
      </c>
      <c r="H42" s="72" t="s">
        <v>884</v>
      </c>
      <c r="I42" s="72" t="s">
        <v>885</v>
      </c>
      <c r="K42" s="72" t="s">
        <v>886</v>
      </c>
      <c r="L42" s="72" t="s">
        <v>887</v>
      </c>
      <c r="R42" s="72" t="s">
        <v>888</v>
      </c>
      <c r="X42" s="72" t="s">
        <v>889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1555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686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687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688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79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ht="105" x14ac:dyDescent="0.25">
      <c r="A25" s="72" t="s">
        <v>174</v>
      </c>
      <c r="B25" s="72" t="s">
        <v>208</v>
      </c>
      <c r="C25" s="72" t="s">
        <v>905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152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1557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836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79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/>
  </sheetViews>
  <sheetFormatPr defaultRowHeight="15" x14ac:dyDescent="0.25"/>
  <sheetData>
    <row r="1" spans="1:26" x14ac:dyDescent="0.25">
      <c r="A1" s="72" t="s">
        <v>1559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865</v>
      </c>
      <c r="E4" s="72" t="s">
        <v>37</v>
      </c>
      <c r="F4" s="72" t="s">
        <v>116</v>
      </c>
      <c r="K4" s="72" t="s">
        <v>42</v>
      </c>
      <c r="M4" s="72" t="s">
        <v>700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701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702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906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907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79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908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909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910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911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912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x14ac:dyDescent="0.25">
      <c r="B32" s="72" t="s">
        <v>225</v>
      </c>
    </row>
    <row r="33" spans="1:6" x14ac:dyDescent="0.25">
      <c r="B33" s="72" t="s">
        <v>242</v>
      </c>
      <c r="D33" s="72" t="s">
        <v>166</v>
      </c>
    </row>
    <row r="35" spans="1:6" x14ac:dyDescent="0.25">
      <c r="A35" s="72" t="s">
        <v>30</v>
      </c>
      <c r="D35" s="72" t="s">
        <v>167</v>
      </c>
    </row>
    <row r="36" spans="1:6" x14ac:dyDescent="0.25">
      <c r="A36" s="72" t="s">
        <v>30</v>
      </c>
      <c r="D36" s="72" t="s">
        <v>12</v>
      </c>
      <c r="F36" s="72" t="s">
        <v>168</v>
      </c>
    </row>
    <row r="37" spans="1:6" x14ac:dyDescent="0.25">
      <c r="A37" s="72" t="s">
        <v>30</v>
      </c>
      <c r="D37" s="72" t="s">
        <v>5</v>
      </c>
      <c r="F37" s="72" t="s">
        <v>169</v>
      </c>
    </row>
    <row r="38" spans="1:6" x14ac:dyDescent="0.25">
      <c r="A38" s="72" t="s">
        <v>19</v>
      </c>
      <c r="D38" s="72" t="s">
        <v>49</v>
      </c>
    </row>
    <row r="39" spans="1:6" x14ac:dyDescent="0.25">
      <c r="A39" s="72" t="s">
        <v>19</v>
      </c>
      <c r="F39" s="72" t="s">
        <v>170</v>
      </c>
    </row>
    <row r="40" spans="1:6" x14ac:dyDescent="0.25">
      <c r="A40" s="72" t="s">
        <v>19</v>
      </c>
    </row>
    <row r="41" spans="1:6" x14ac:dyDescent="0.25">
      <c r="A41" s="72" t="s">
        <v>30</v>
      </c>
      <c r="D41" s="72" t="s">
        <v>50</v>
      </c>
      <c r="F41" s="72" t="s">
        <v>171</v>
      </c>
    </row>
    <row r="42" spans="1:6" x14ac:dyDescent="0.25">
      <c r="A42" s="72" t="s">
        <v>30</v>
      </c>
      <c r="D42" s="72" t="s">
        <v>32</v>
      </c>
    </row>
    <row r="43" spans="1:6" x14ac:dyDescent="0.25">
      <c r="A43" s="72" t="s">
        <v>30</v>
      </c>
      <c r="D43" s="72" t="s">
        <v>51</v>
      </c>
    </row>
    <row r="44" spans="1:6" x14ac:dyDescent="0.25">
      <c r="A44" s="72" t="s">
        <v>30</v>
      </c>
      <c r="D44" s="72" t="s">
        <v>172</v>
      </c>
    </row>
    <row r="45" spans="1:6" x14ac:dyDescent="0.25">
      <c r="A45" s="72" t="s">
        <v>30</v>
      </c>
      <c r="D45" s="72" t="s">
        <v>55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/>
  </sheetViews>
  <sheetFormatPr defaultRowHeight="15" x14ac:dyDescent="0.25"/>
  <sheetData>
    <row r="1" spans="1:26" x14ac:dyDescent="0.25">
      <c r="A1" s="72" t="s">
        <v>1561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859</v>
      </c>
      <c r="E4" s="72" t="s">
        <v>37</v>
      </c>
      <c r="F4" s="72" t="s">
        <v>116</v>
      </c>
      <c r="K4" s="72" t="s">
        <v>42</v>
      </c>
      <c r="M4" s="72" t="s">
        <v>913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914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915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916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79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917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918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919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920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921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922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x14ac:dyDescent="0.25">
      <c r="B32" s="72" t="s">
        <v>207</v>
      </c>
    </row>
    <row r="33" spans="1:6" x14ac:dyDescent="0.25">
      <c r="B33" s="72" t="s">
        <v>242</v>
      </c>
      <c r="D33" s="72" t="s">
        <v>166</v>
      </c>
    </row>
    <row r="35" spans="1:6" x14ac:dyDescent="0.25">
      <c r="A35" s="72" t="s">
        <v>30</v>
      </c>
      <c r="D35" s="72" t="s">
        <v>167</v>
      </c>
    </row>
    <row r="36" spans="1:6" x14ac:dyDescent="0.25">
      <c r="A36" s="72" t="s">
        <v>30</v>
      </c>
      <c r="D36" s="72" t="s">
        <v>12</v>
      </c>
      <c r="F36" s="72" t="s">
        <v>168</v>
      </c>
    </row>
    <row r="37" spans="1:6" x14ac:dyDescent="0.25">
      <c r="A37" s="72" t="s">
        <v>30</v>
      </c>
      <c r="D37" s="72" t="s">
        <v>5</v>
      </c>
      <c r="F37" s="72" t="s">
        <v>169</v>
      </c>
    </row>
    <row r="38" spans="1:6" x14ac:dyDescent="0.25">
      <c r="A38" s="72" t="s">
        <v>19</v>
      </c>
      <c r="D38" s="72" t="s">
        <v>49</v>
      </c>
    </row>
    <row r="39" spans="1:6" x14ac:dyDescent="0.25">
      <c r="A39" s="72" t="s">
        <v>19</v>
      </c>
      <c r="F39" s="72" t="s">
        <v>170</v>
      </c>
    </row>
    <row r="40" spans="1:6" x14ac:dyDescent="0.25">
      <c r="A40" s="72" t="s">
        <v>19</v>
      </c>
    </row>
    <row r="41" spans="1:6" x14ac:dyDescent="0.25">
      <c r="A41" s="72" t="s">
        <v>30</v>
      </c>
      <c r="D41" s="72" t="s">
        <v>50</v>
      </c>
      <c r="F41" s="72" t="s">
        <v>171</v>
      </c>
    </row>
    <row r="42" spans="1:6" x14ac:dyDescent="0.25">
      <c r="A42" s="72" t="s">
        <v>30</v>
      </c>
      <c r="D42" s="72" t="s">
        <v>32</v>
      </c>
    </row>
    <row r="43" spans="1:6" x14ac:dyDescent="0.25">
      <c r="A43" s="72" t="s">
        <v>30</v>
      </c>
      <c r="D43" s="72" t="s">
        <v>51</v>
      </c>
    </row>
    <row r="44" spans="1:6" x14ac:dyDescent="0.25">
      <c r="A44" s="72" t="s">
        <v>30</v>
      </c>
      <c r="D44" s="72" t="s">
        <v>172</v>
      </c>
    </row>
    <row r="45" spans="1:6" x14ac:dyDescent="0.25">
      <c r="A45" s="72" t="s">
        <v>30</v>
      </c>
      <c r="D45" s="72" t="s">
        <v>55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/>
  </sheetViews>
  <sheetFormatPr defaultRowHeight="15" x14ac:dyDescent="0.25"/>
  <sheetData>
    <row r="1" spans="1:26" x14ac:dyDescent="0.25">
      <c r="A1" s="72" t="s">
        <v>1563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815</v>
      </c>
      <c r="E4" s="72" t="s">
        <v>37</v>
      </c>
      <c r="F4" s="72" t="s">
        <v>116</v>
      </c>
      <c r="K4" s="72" t="s">
        <v>42</v>
      </c>
      <c r="M4" s="72" t="s">
        <v>923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924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925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926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927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929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931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79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932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933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934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ht="105" x14ac:dyDescent="0.25">
      <c r="A32" s="72" t="s">
        <v>174</v>
      </c>
      <c r="B32" s="72" t="s">
        <v>297</v>
      </c>
      <c r="C32" s="72" t="s">
        <v>935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17" ht="105" x14ac:dyDescent="0.25">
      <c r="A33" s="72" t="s">
        <v>174</v>
      </c>
      <c r="B33" s="72" t="s">
        <v>300</v>
      </c>
      <c r="C33" s="72" t="s">
        <v>936</v>
      </c>
      <c r="D33" s="72" t="s">
        <v>320</v>
      </c>
      <c r="E33" s="72" t="s">
        <v>328</v>
      </c>
      <c r="F33" s="72" t="s">
        <v>336</v>
      </c>
      <c r="G33" s="73" t="s">
        <v>301</v>
      </c>
      <c r="H33" s="72" t="s">
        <v>344</v>
      </c>
      <c r="I33" s="72" t="s">
        <v>352</v>
      </c>
      <c r="J33" s="72" t="s">
        <v>360</v>
      </c>
      <c r="N33" s="72" t="s">
        <v>302</v>
      </c>
      <c r="O33" s="72" t="s">
        <v>368</v>
      </c>
      <c r="P33" s="72" t="s">
        <v>376</v>
      </c>
      <c r="Q33" s="73" t="s">
        <v>56</v>
      </c>
    </row>
    <row r="34" spans="1:17" ht="105" x14ac:dyDescent="0.25">
      <c r="A34" s="72" t="s">
        <v>174</v>
      </c>
      <c r="B34" s="72" t="s">
        <v>303</v>
      </c>
      <c r="C34" s="72" t="s">
        <v>937</v>
      </c>
      <c r="D34" s="72" t="s">
        <v>321</v>
      </c>
      <c r="E34" s="72" t="s">
        <v>329</v>
      </c>
      <c r="F34" s="72" t="s">
        <v>337</v>
      </c>
      <c r="G34" s="73" t="s">
        <v>304</v>
      </c>
      <c r="H34" s="72" t="s">
        <v>345</v>
      </c>
      <c r="I34" s="72" t="s">
        <v>353</v>
      </c>
      <c r="J34" s="72" t="s">
        <v>361</v>
      </c>
      <c r="N34" s="72" t="s">
        <v>305</v>
      </c>
      <c r="O34" s="72" t="s">
        <v>369</v>
      </c>
      <c r="P34" s="72" t="s">
        <v>377</v>
      </c>
      <c r="Q34" s="73" t="s">
        <v>56</v>
      </c>
    </row>
    <row r="35" spans="1:17" ht="105" x14ac:dyDescent="0.25">
      <c r="A35" s="72" t="s">
        <v>174</v>
      </c>
      <c r="B35" s="72" t="s">
        <v>306</v>
      </c>
      <c r="C35" s="72" t="s">
        <v>938</v>
      </c>
      <c r="D35" s="72" t="s">
        <v>322</v>
      </c>
      <c r="E35" s="72" t="s">
        <v>330</v>
      </c>
      <c r="F35" s="72" t="s">
        <v>338</v>
      </c>
      <c r="G35" s="73" t="s">
        <v>307</v>
      </c>
      <c r="H35" s="72" t="s">
        <v>346</v>
      </c>
      <c r="I35" s="72" t="s">
        <v>354</v>
      </c>
      <c r="J35" s="72" t="s">
        <v>362</v>
      </c>
      <c r="N35" s="72" t="s">
        <v>308</v>
      </c>
      <c r="O35" s="72" t="s">
        <v>370</v>
      </c>
      <c r="P35" s="72" t="s">
        <v>378</v>
      </c>
      <c r="Q35" s="73" t="s">
        <v>56</v>
      </c>
    </row>
    <row r="36" spans="1:17" ht="105" x14ac:dyDescent="0.25">
      <c r="A36" s="72" t="s">
        <v>174</v>
      </c>
      <c r="B36" s="72" t="s">
        <v>309</v>
      </c>
      <c r="C36" s="72" t="s">
        <v>939</v>
      </c>
      <c r="D36" s="72" t="s">
        <v>323</v>
      </c>
      <c r="E36" s="72" t="s">
        <v>331</v>
      </c>
      <c r="F36" s="72" t="s">
        <v>339</v>
      </c>
      <c r="G36" s="73" t="s">
        <v>310</v>
      </c>
      <c r="H36" s="72" t="s">
        <v>347</v>
      </c>
      <c r="I36" s="72" t="s">
        <v>355</v>
      </c>
      <c r="J36" s="72" t="s">
        <v>363</v>
      </c>
      <c r="N36" s="72" t="s">
        <v>311</v>
      </c>
      <c r="O36" s="72" t="s">
        <v>371</v>
      </c>
      <c r="P36" s="72" t="s">
        <v>379</v>
      </c>
      <c r="Q36" s="73" t="s">
        <v>56</v>
      </c>
    </row>
    <row r="37" spans="1:17" x14ac:dyDescent="0.25">
      <c r="B37" s="72" t="s">
        <v>534</v>
      </c>
    </row>
    <row r="38" spans="1:17" x14ac:dyDescent="0.25">
      <c r="B38" s="72" t="s">
        <v>681</v>
      </c>
      <c r="D38" s="72" t="s">
        <v>166</v>
      </c>
    </row>
    <row r="40" spans="1:17" x14ac:dyDescent="0.25">
      <c r="A40" s="72" t="s">
        <v>30</v>
      </c>
      <c r="D40" s="72" t="s">
        <v>167</v>
      </c>
    </row>
    <row r="41" spans="1:17" x14ac:dyDescent="0.25">
      <c r="A41" s="72" t="s">
        <v>30</v>
      </c>
      <c r="D41" s="72" t="s">
        <v>12</v>
      </c>
      <c r="F41" s="72" t="s">
        <v>168</v>
      </c>
    </row>
    <row r="42" spans="1:17" x14ac:dyDescent="0.25">
      <c r="A42" s="72" t="s">
        <v>30</v>
      </c>
      <c r="D42" s="72" t="s">
        <v>5</v>
      </c>
      <c r="F42" s="72" t="s">
        <v>169</v>
      </c>
    </row>
    <row r="43" spans="1:17" x14ac:dyDescent="0.25">
      <c r="A43" s="72" t="s">
        <v>19</v>
      </c>
      <c r="D43" s="72" t="s">
        <v>49</v>
      </c>
    </row>
    <row r="44" spans="1:17" x14ac:dyDescent="0.25">
      <c r="A44" s="72" t="s">
        <v>19</v>
      </c>
      <c r="F44" s="72" t="s">
        <v>170</v>
      </c>
    </row>
    <row r="45" spans="1:17" x14ac:dyDescent="0.25">
      <c r="A45" s="72" t="s">
        <v>184</v>
      </c>
      <c r="F45" s="72" t="s">
        <v>928</v>
      </c>
    </row>
    <row r="46" spans="1:17" x14ac:dyDescent="0.25">
      <c r="A46" s="72" t="s">
        <v>184</v>
      </c>
      <c r="F46" s="72" t="s">
        <v>930</v>
      </c>
    </row>
    <row r="47" spans="1:17" x14ac:dyDescent="0.25">
      <c r="A47" s="72" t="s">
        <v>19</v>
      </c>
    </row>
    <row r="48" spans="1:17" x14ac:dyDescent="0.25">
      <c r="A48" s="72" t="s">
        <v>30</v>
      </c>
      <c r="D48" s="72" t="s">
        <v>50</v>
      </c>
      <c r="F48" s="72" t="s">
        <v>171</v>
      </c>
    </row>
    <row r="49" spans="1:4" x14ac:dyDescent="0.25">
      <c r="A49" s="72" t="s">
        <v>30</v>
      </c>
      <c r="D49" s="72" t="s">
        <v>32</v>
      </c>
    </row>
    <row r="50" spans="1:4" x14ac:dyDescent="0.25">
      <c r="A50" s="72" t="s">
        <v>30</v>
      </c>
      <c r="D50" s="72" t="s">
        <v>51</v>
      </c>
    </row>
    <row r="51" spans="1:4" x14ac:dyDescent="0.25">
      <c r="A51" s="72" t="s">
        <v>30</v>
      </c>
      <c r="D51" s="72" t="s">
        <v>172</v>
      </c>
    </row>
    <row r="52" spans="1:4" x14ac:dyDescent="0.25">
      <c r="A52" s="72" t="s">
        <v>30</v>
      </c>
      <c r="D52" s="72" t="s">
        <v>55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/>
  </sheetViews>
  <sheetFormatPr defaultRowHeight="15" x14ac:dyDescent="0.25"/>
  <sheetData>
    <row r="1" spans="1:26" x14ac:dyDescent="0.25">
      <c r="A1" s="72" t="s">
        <v>1565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940</v>
      </c>
      <c r="E4" s="72" t="s">
        <v>37</v>
      </c>
      <c r="F4" s="72" t="s">
        <v>116</v>
      </c>
      <c r="K4" s="72" t="s">
        <v>42</v>
      </c>
      <c r="M4" s="72" t="s">
        <v>941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942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943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944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79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945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946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947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948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949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950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ht="105" x14ac:dyDescent="0.25">
      <c r="A32" s="72" t="s">
        <v>174</v>
      </c>
      <c r="B32" s="72" t="s">
        <v>297</v>
      </c>
      <c r="C32" s="72" t="s">
        <v>951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17" ht="105" x14ac:dyDescent="0.25">
      <c r="A33" s="72" t="s">
        <v>174</v>
      </c>
      <c r="B33" s="72" t="s">
        <v>300</v>
      </c>
      <c r="C33" s="72" t="s">
        <v>952</v>
      </c>
      <c r="D33" s="72" t="s">
        <v>320</v>
      </c>
      <c r="E33" s="72" t="s">
        <v>328</v>
      </c>
      <c r="F33" s="72" t="s">
        <v>336</v>
      </c>
      <c r="G33" s="73" t="s">
        <v>301</v>
      </c>
      <c r="H33" s="72" t="s">
        <v>344</v>
      </c>
      <c r="I33" s="72" t="s">
        <v>352</v>
      </c>
      <c r="J33" s="72" t="s">
        <v>360</v>
      </c>
      <c r="N33" s="72" t="s">
        <v>302</v>
      </c>
      <c r="O33" s="72" t="s">
        <v>368</v>
      </c>
      <c r="P33" s="72" t="s">
        <v>376</v>
      </c>
      <c r="Q33" s="73" t="s">
        <v>56</v>
      </c>
    </row>
    <row r="34" spans="1:17" ht="105" x14ac:dyDescent="0.25">
      <c r="A34" s="72" t="s">
        <v>174</v>
      </c>
      <c r="B34" s="72" t="s">
        <v>303</v>
      </c>
      <c r="C34" s="72" t="s">
        <v>953</v>
      </c>
      <c r="D34" s="72" t="s">
        <v>321</v>
      </c>
      <c r="E34" s="72" t="s">
        <v>329</v>
      </c>
      <c r="F34" s="72" t="s">
        <v>337</v>
      </c>
      <c r="G34" s="73" t="s">
        <v>304</v>
      </c>
      <c r="H34" s="72" t="s">
        <v>345</v>
      </c>
      <c r="I34" s="72" t="s">
        <v>353</v>
      </c>
      <c r="J34" s="72" t="s">
        <v>361</v>
      </c>
      <c r="N34" s="72" t="s">
        <v>305</v>
      </c>
      <c r="O34" s="72" t="s">
        <v>369</v>
      </c>
      <c r="P34" s="72" t="s">
        <v>377</v>
      </c>
      <c r="Q34" s="73" t="s">
        <v>56</v>
      </c>
    </row>
    <row r="35" spans="1:17" ht="105" x14ac:dyDescent="0.25">
      <c r="A35" s="72" t="s">
        <v>174</v>
      </c>
      <c r="B35" s="72" t="s">
        <v>306</v>
      </c>
      <c r="C35" s="72" t="s">
        <v>954</v>
      </c>
      <c r="D35" s="72" t="s">
        <v>322</v>
      </c>
      <c r="E35" s="72" t="s">
        <v>330</v>
      </c>
      <c r="F35" s="72" t="s">
        <v>338</v>
      </c>
      <c r="G35" s="73" t="s">
        <v>307</v>
      </c>
      <c r="H35" s="72" t="s">
        <v>346</v>
      </c>
      <c r="I35" s="72" t="s">
        <v>354</v>
      </c>
      <c r="J35" s="72" t="s">
        <v>362</v>
      </c>
      <c r="N35" s="72" t="s">
        <v>308</v>
      </c>
      <c r="O35" s="72" t="s">
        <v>370</v>
      </c>
      <c r="P35" s="72" t="s">
        <v>378</v>
      </c>
      <c r="Q35" s="73" t="s">
        <v>56</v>
      </c>
    </row>
    <row r="36" spans="1:17" x14ac:dyDescent="0.25">
      <c r="B36" s="72" t="s">
        <v>207</v>
      </c>
    </row>
    <row r="37" spans="1:17" x14ac:dyDescent="0.25">
      <c r="B37" s="72" t="s">
        <v>668</v>
      </c>
      <c r="D37" s="72" t="s">
        <v>166</v>
      </c>
    </row>
    <row r="39" spans="1:17" x14ac:dyDescent="0.25">
      <c r="A39" s="72" t="s">
        <v>30</v>
      </c>
      <c r="D39" s="72" t="s">
        <v>167</v>
      </c>
    </row>
    <row r="40" spans="1:17" x14ac:dyDescent="0.25">
      <c r="A40" s="72" t="s">
        <v>30</v>
      </c>
      <c r="D40" s="72" t="s">
        <v>12</v>
      </c>
      <c r="F40" s="72" t="s">
        <v>168</v>
      </c>
    </row>
    <row r="41" spans="1:17" x14ac:dyDescent="0.25">
      <c r="A41" s="72" t="s">
        <v>30</v>
      </c>
      <c r="D41" s="72" t="s">
        <v>5</v>
      </c>
      <c r="F41" s="72" t="s">
        <v>169</v>
      </c>
    </row>
    <row r="42" spans="1:17" x14ac:dyDescent="0.25">
      <c r="A42" s="72" t="s">
        <v>19</v>
      </c>
      <c r="D42" s="72" t="s">
        <v>49</v>
      </c>
    </row>
    <row r="43" spans="1:17" x14ac:dyDescent="0.25">
      <c r="A43" s="72" t="s">
        <v>19</v>
      </c>
      <c r="F43" s="72" t="s">
        <v>170</v>
      </c>
    </row>
    <row r="44" spans="1:17" x14ac:dyDescent="0.25">
      <c r="A44" s="72" t="s">
        <v>184</v>
      </c>
      <c r="F44" s="72" t="s">
        <v>955</v>
      </c>
    </row>
    <row r="45" spans="1:17" x14ac:dyDescent="0.25">
      <c r="A45" s="72" t="s">
        <v>19</v>
      </c>
    </row>
    <row r="46" spans="1:17" x14ac:dyDescent="0.25">
      <c r="A46" s="72" t="s">
        <v>30</v>
      </c>
      <c r="D46" s="72" t="s">
        <v>50</v>
      </c>
      <c r="F46" s="72" t="s">
        <v>171</v>
      </c>
    </row>
    <row r="47" spans="1:17" x14ac:dyDescent="0.25">
      <c r="A47" s="72" t="s">
        <v>30</v>
      </c>
      <c r="D47" s="72" t="s">
        <v>32</v>
      </c>
    </row>
    <row r="48" spans="1:17" x14ac:dyDescent="0.25">
      <c r="A48" s="72" t="s">
        <v>30</v>
      </c>
      <c r="D48" s="72" t="s">
        <v>51</v>
      </c>
    </row>
    <row r="49" spans="1:4" x14ac:dyDescent="0.25">
      <c r="A49" s="72" t="s">
        <v>30</v>
      </c>
      <c r="D49" s="72" t="s">
        <v>172</v>
      </c>
    </row>
    <row r="50" spans="1:4" x14ac:dyDescent="0.25">
      <c r="A50" s="72" t="s">
        <v>30</v>
      </c>
      <c r="D50" s="72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1582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HOLY COVENANT UMC  (002719P)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"002719P"</f>
        <v>002719P</v>
      </c>
      <c r="E4" s="101" t="s">
        <v>37</v>
      </c>
      <c r="F4" s="105" t="str">
        <f>C4</f>
        <v>002719P</v>
      </c>
      <c r="K4" s="101" t="s">
        <v>42</v>
      </c>
      <c r="L4" s="104"/>
      <c r="M4" s="111">
        <f>SUM(I25:I32)</f>
        <v>27</v>
      </c>
    </row>
    <row r="5" spans="1:26" ht="18" customHeight="1" x14ac:dyDescent="0.25">
      <c r="B5" s="76" t="str">
        <f t="shared" si="0"/>
        <v>Show</v>
      </c>
      <c r="C5" s="109" t="s">
        <v>1306</v>
      </c>
      <c r="E5" s="101" t="s">
        <v>36</v>
      </c>
      <c r="F5" s="112" t="s">
        <v>1178</v>
      </c>
      <c r="K5" s="101" t="s">
        <v>43</v>
      </c>
      <c r="L5" s="104"/>
      <c r="M5" s="111">
        <f>ROUND(SUM(O25:O32),0)</f>
        <v>576</v>
      </c>
    </row>
    <row r="6" spans="1:26" ht="18" customHeight="1" x14ac:dyDescent="0.25">
      <c r="B6" s="76" t="str">
        <f t="shared" si="0"/>
        <v>Show</v>
      </c>
      <c r="C6" s="109" t="s">
        <v>1307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ROUND(COUNT(O25:O32),0)</f>
        <v>7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A108316|A108316|A108316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ITPN-207465|ITPN-207466|ITPN-207465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1306</v>
      </c>
      <c r="E12" s="74" t="s">
        <v>1300</v>
      </c>
      <c r="F12" s="74" t="s">
        <v>1301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Pick"",""2"",""ITPN-207466"""</f>
        <v>"Ceres NTFB Live","NTFB Live","5766","1","Invt. Pick","2","ITPN-207466"</v>
      </c>
      <c r="E13" s="74" t="s">
        <v>1300</v>
      </c>
      <c r="F13" s="74" t="s">
        <v>1302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1300</v>
      </c>
      <c r="E14" s="74" t="str">
        <f>E12</f>
        <v>A108316</v>
      </c>
      <c r="F14" s="74" t="str">
        <f>F12</f>
        <v>ITPN-207465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1303</v>
      </c>
      <c r="F15" s="92" t="s">
        <v>1304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1305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96" t="s">
        <v>79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1310</v>
      </c>
      <c r="D25" s="89" t="str">
        <f>"02-30-01"</f>
        <v>02-30-01</v>
      </c>
      <c r="E25" s="89" t="str">
        <f>"P00193878"</f>
        <v>P00193878</v>
      </c>
      <c r="F25" s="89" t="str">
        <f>"1000003674"</f>
        <v>1000003674</v>
      </c>
      <c r="G25" s="91" t="s">
        <v>1308</v>
      </c>
      <c r="H25" s="90" t="str">
        <f>"SOUP, SLOW KETTLE BROCCOLI CHEDDAR BISQUE"</f>
        <v>SOUP, SLOW KETTLE BROCCOLI CHEDDAR BISQUE</v>
      </c>
      <c r="I25" s="89">
        <v>5</v>
      </c>
      <c r="J25" s="89" t="str">
        <f t="shared" ref="J25:J31" si="2">"CS"</f>
        <v>CS</v>
      </c>
      <c r="K25" s="88"/>
      <c r="L25" s="87"/>
      <c r="M25" s="87"/>
      <c r="N25" s="85" t="s">
        <v>179</v>
      </c>
      <c r="O25" s="85">
        <v>45</v>
      </c>
      <c r="P25" s="85" t="str">
        <f>"DRY"</f>
        <v>DRY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31" si="3">IF(I26="","Hide","Show")</f>
        <v>Show</v>
      </c>
      <c r="C26" s="74" t="str">
        <f>"""Ceres NTFB Live"",""NTFB Live"",""5767"",""1"",""Invt. Pick"",""2"",""ITPN-207465"",""3"",""20000"""</f>
        <v>"Ceres NTFB Live","NTFB Live","5767","1","Invt. Pick","2","ITPN-207465","3","20000"</v>
      </c>
      <c r="D26" s="89" t="str">
        <f>"02-43-01"</f>
        <v>02-43-01</v>
      </c>
      <c r="E26" s="89" t="str">
        <f>"P00161455"</f>
        <v>P00161455</v>
      </c>
      <c r="F26" s="89" t="str">
        <f>"1000000503"</f>
        <v>1000000503</v>
      </c>
      <c r="G26" s="91" t="s">
        <v>1308</v>
      </c>
      <c r="H26" s="90" t="str">
        <f>"GREEN BEANS, ASSORTED CANNED"</f>
        <v>GREEN BEANS, ASSORTED CANNED</v>
      </c>
      <c r="I26" s="89">
        <v>5</v>
      </c>
      <c r="J26" s="89" t="str">
        <f t="shared" si="2"/>
        <v>CS</v>
      </c>
      <c r="K26" s="88"/>
      <c r="L26" s="87"/>
      <c r="M26" s="87"/>
      <c r="N26" s="85" t="s">
        <v>179</v>
      </c>
      <c r="O26" s="85">
        <v>110</v>
      </c>
      <c r="P26" s="85" t="str">
        <f>"DRY"</f>
        <v>DRY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3"/>
        <v>Show</v>
      </c>
      <c r="C27" s="74" t="str">
        <f>"""Ceres NTFB Live"",""NTFB Live"",""5767"",""1"",""Invt. Pick"",""2"",""ITPN-207465"",""3"",""60000"""</f>
        <v>"Ceres NTFB Live","NTFB Live","5767","1","Invt. Pick","2","ITPN-207465","3","60000"</v>
      </c>
      <c r="D27" s="89" t="str">
        <f>"04-26-01"</f>
        <v>04-26-01</v>
      </c>
      <c r="E27" s="89" t="str">
        <f>"P00194569"</f>
        <v>P00194569</v>
      </c>
      <c r="F27" s="89" t="str">
        <f>"1000000507"</f>
        <v>1000000507</v>
      </c>
      <c r="G27" s="91" t="s">
        <v>1308</v>
      </c>
      <c r="H27" s="90" t="str">
        <f>"PASTA, ASSORTED PACKAGES"</f>
        <v>PASTA, ASSORTED PACKAGES</v>
      </c>
      <c r="I27" s="89">
        <v>5</v>
      </c>
      <c r="J27" s="89" t="str">
        <f t="shared" si="2"/>
        <v>CS</v>
      </c>
      <c r="K27" s="88"/>
      <c r="L27" s="87"/>
      <c r="M27" s="87"/>
      <c r="N27" s="85" t="s">
        <v>179</v>
      </c>
      <c r="O27" s="85">
        <v>90</v>
      </c>
      <c r="P27" s="85" t="str">
        <f>"DRY"</f>
        <v>DRY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3"/>
        <v>Show</v>
      </c>
      <c r="C28" s="74" t="str">
        <f>"""Ceres NTFB Live"",""NTFB Live"",""5767"",""1"",""Invt. Pick"",""2"",""ITPN-207466"",""3"",""31000"""</f>
        <v>"Ceres NTFB Live","NTFB Live","5767","1","Invt. Pick","2","ITPN-207466","3","31000"</v>
      </c>
      <c r="D28" s="89" t="str">
        <f>"33-05-01"</f>
        <v>33-05-01</v>
      </c>
      <c r="E28" s="89" t="str">
        <f>"P00193953"</f>
        <v>P00193953</v>
      </c>
      <c r="F28" s="89" t="str">
        <f>"1000000938"</f>
        <v>1000000938</v>
      </c>
      <c r="G28" s="91" t="s">
        <v>1309</v>
      </c>
      <c r="H28" s="90" t="str">
        <f>"USDA PORK WITH JUICES"</f>
        <v>USDA PORK WITH JUICES</v>
      </c>
      <c r="I28" s="89">
        <v>3</v>
      </c>
      <c r="J28" s="89" t="str">
        <f t="shared" si="2"/>
        <v>CS</v>
      </c>
      <c r="K28" s="88"/>
      <c r="L28" s="87"/>
      <c r="M28" s="87"/>
      <c r="N28" s="85" t="s">
        <v>179</v>
      </c>
      <c r="O28" s="85">
        <v>111</v>
      </c>
      <c r="P28" s="85" t="str">
        <f>"DRYUSDA"</f>
        <v>DRYUSDA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si="3"/>
        <v>Show</v>
      </c>
      <c r="C29" s="74" t="str">
        <f>"""Ceres NTFB Live"",""NTFB Live"",""5767"",""1"",""Invt. Pick"",""2"",""ITPN-207466"",""3"",""120000"""</f>
        <v>"Ceres NTFB Live","NTFB Live","5767","1","Invt. Pick","2","ITPN-207466","3","120000"</v>
      </c>
      <c r="D29" s="89" t="str">
        <f>"33-10-01"</f>
        <v>33-10-01</v>
      </c>
      <c r="E29" s="89" t="str">
        <f>"P00195179"</f>
        <v>P00195179</v>
      </c>
      <c r="F29" s="89" t="str">
        <f>"1000000135"</f>
        <v>1000000135</v>
      </c>
      <c r="G29" s="91" t="s">
        <v>1309</v>
      </c>
      <c r="H29" s="90" t="str">
        <f>"USDA SWEET PEAS, CANNED"</f>
        <v>USDA SWEET PEAS, CANNED</v>
      </c>
      <c r="I29" s="89">
        <v>4</v>
      </c>
      <c r="J29" s="89" t="str">
        <f t="shared" si="2"/>
        <v>CS</v>
      </c>
      <c r="K29" s="88"/>
      <c r="L29" s="87"/>
      <c r="M29" s="87"/>
      <c r="N29" s="85" t="s">
        <v>179</v>
      </c>
      <c r="O29" s="85">
        <v>104</v>
      </c>
      <c r="P29" s="85" t="str">
        <f>"DRYUSDA"</f>
        <v>DRYUSDA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3"/>
        <v>Show</v>
      </c>
      <c r="C30" s="74" t="str">
        <f>"""Ceres NTFB Live"",""NTFB Live"",""5767"",""1"",""Invt. Pick"",""2"",""ITPN-207466"",""3"",""40000"""</f>
        <v>"Ceres NTFB Live","NTFB Live","5767","1","Invt. Pick","2","ITPN-207466","3","40000"</v>
      </c>
      <c r="D30" s="89" t="str">
        <f>"33-14-01"</f>
        <v>33-14-01</v>
      </c>
      <c r="E30" s="89" t="str">
        <f>"P00193813"</f>
        <v>P00193813</v>
      </c>
      <c r="F30" s="89" t="str">
        <f>"1000000688"</f>
        <v>1000000688</v>
      </c>
      <c r="G30" s="91" t="s">
        <v>1309</v>
      </c>
      <c r="H30" s="90" t="str">
        <f>"USDA MILK,SHELF STABLE, 1%"</f>
        <v>USDA MILK,SHELF STABLE, 1%</v>
      </c>
      <c r="I30" s="89">
        <v>2</v>
      </c>
      <c r="J30" s="89" t="str">
        <f t="shared" si="2"/>
        <v>CS</v>
      </c>
      <c r="K30" s="88"/>
      <c r="L30" s="87"/>
      <c r="M30" s="87"/>
      <c r="N30" s="85" t="s">
        <v>179</v>
      </c>
      <c r="O30" s="85">
        <v>48</v>
      </c>
      <c r="P30" s="85" t="str">
        <f>"DRYUSDA"</f>
        <v>DRYUSDA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si="3"/>
        <v>Show</v>
      </c>
      <c r="C31" s="74" t="str">
        <f>"""Ceres NTFB Live"",""NTFB Live"",""5767"",""1"",""Invt. Pick"",""2"",""ITPN-207466"",""3"",""100000"""</f>
        <v>"Ceres NTFB Live","NTFB Live","5767","1","Invt. Pick","2","ITPN-207466","3","100000"</v>
      </c>
      <c r="D31" s="89" t="str">
        <f>"35-03-01"</f>
        <v>35-03-01</v>
      </c>
      <c r="E31" s="89" t="str">
        <f>"P00189265"</f>
        <v>P00189265</v>
      </c>
      <c r="F31" s="89" t="str">
        <f>"1000000466"</f>
        <v>1000000466</v>
      </c>
      <c r="G31" s="91" t="s">
        <v>1309</v>
      </c>
      <c r="H31" s="90" t="str">
        <f>"USDA LIGHT RED KIDNEY BEANS, CANNED"</f>
        <v>USDA LIGHT RED KIDNEY BEANS, CANNED</v>
      </c>
      <c r="I31" s="89">
        <v>3</v>
      </c>
      <c r="J31" s="89" t="str">
        <f t="shared" si="2"/>
        <v>CS</v>
      </c>
      <c r="K31" s="88"/>
      <c r="L31" s="87"/>
      <c r="M31" s="87"/>
      <c r="N31" s="85" t="s">
        <v>179</v>
      </c>
      <c r="O31" s="85">
        <v>67.5</v>
      </c>
      <c r="P31" s="85" t="str">
        <f>"DRYUSDA"</f>
        <v>DRYUSDA</v>
      </c>
      <c r="Q31" s="86" t="s">
        <v>56</v>
      </c>
    </row>
    <row r="32" spans="1:17" ht="15.75" thickBot="1" x14ac:dyDescent="0.3">
      <c r="B32" s="74" t="str">
        <f>B25</f>
        <v>Show</v>
      </c>
      <c r="H32" s="85"/>
      <c r="I32" s="85"/>
    </row>
    <row r="33" spans="1:16" ht="15.75" thickBot="1" x14ac:dyDescent="0.3">
      <c r="B33" s="74" t="str">
        <f>+B32</f>
        <v>Show</v>
      </c>
      <c r="D33" s="193" t="str">
        <f>+"END OF "&amp;D2</f>
        <v>END OF HOLY COVENANT UMC  (002719P) - DRY|DRYUSDA|MCTF PICK LIST</v>
      </c>
      <c r="E33" s="194"/>
      <c r="F33" s="194"/>
      <c r="G33" s="194"/>
      <c r="H33" s="194"/>
      <c r="I33" s="194"/>
      <c r="J33" s="194"/>
      <c r="K33" s="194"/>
      <c r="L33" s="194"/>
      <c r="M33" s="195"/>
    </row>
    <row r="34" spans="1:16" ht="15.75" thickBot="1" x14ac:dyDescent="0.3"/>
    <row r="35" spans="1:16" ht="80.099999999999994" customHeight="1" thickBot="1" x14ac:dyDescent="0.3">
      <c r="A35" s="76" t="s">
        <v>30</v>
      </c>
      <c r="D35" s="166" t="str">
        <f>+F6</f>
        <v>DELIVER</v>
      </c>
      <c r="E35" s="167"/>
      <c r="F35" s="167"/>
      <c r="G35" s="167"/>
      <c r="H35" s="167"/>
      <c r="I35" s="167"/>
      <c r="J35" s="167"/>
      <c r="K35" s="167"/>
      <c r="L35" s="167"/>
      <c r="M35" s="168"/>
    </row>
    <row r="36" spans="1:16" ht="36.75" x14ac:dyDescent="0.45">
      <c r="A36" s="76" t="s">
        <v>30</v>
      </c>
      <c r="D36" s="176" t="s">
        <v>12</v>
      </c>
      <c r="E36" s="177"/>
      <c r="F36" s="196" t="str">
        <f>+F4</f>
        <v>002719P</v>
      </c>
      <c r="G36" s="196"/>
      <c r="H36" s="196"/>
      <c r="I36" s="196"/>
      <c r="J36" s="196"/>
      <c r="K36" s="196"/>
      <c r="L36" s="196"/>
      <c r="M36" s="197"/>
    </row>
    <row r="37" spans="1:16" ht="37.5" customHeight="1" thickBot="1" x14ac:dyDescent="0.5">
      <c r="A37" s="76" t="s">
        <v>30</v>
      </c>
      <c r="D37" s="158" t="s">
        <v>5</v>
      </c>
      <c r="E37" s="159"/>
      <c r="F37" s="161" t="str">
        <f>+F5</f>
        <v>HOLY COVENANT UMC</v>
      </c>
      <c r="G37" s="161"/>
      <c r="H37" s="161"/>
      <c r="I37" s="161"/>
      <c r="J37" s="161"/>
      <c r="K37" s="161"/>
      <c r="L37" s="161"/>
      <c r="M37" s="162"/>
      <c r="N37" s="84"/>
      <c r="O37" s="84"/>
      <c r="P37" s="84"/>
    </row>
    <row r="38" spans="1:16" ht="33.75" hidden="1" thickBot="1" x14ac:dyDescent="0.45">
      <c r="A38" s="76" t="s">
        <v>19</v>
      </c>
      <c r="D38" s="172" t="s">
        <v>49</v>
      </c>
      <c r="E38" s="173"/>
      <c r="F38" s="82"/>
      <c r="G38" s="83"/>
      <c r="H38" s="82"/>
      <c r="I38" s="82"/>
      <c r="J38" s="82"/>
      <c r="K38" s="82"/>
      <c r="L38" s="82"/>
      <c r="M38" s="81"/>
    </row>
    <row r="39" spans="1:16" ht="30" hidden="1" customHeight="1" x14ac:dyDescent="0.25">
      <c r="A39" s="76" t="s">
        <v>19</v>
      </c>
      <c r="D39" s="80"/>
      <c r="E39" s="78"/>
      <c r="F39" s="174" t="s">
        <v>1300</v>
      </c>
      <c r="G39" s="174"/>
      <c r="H39" s="174"/>
      <c r="I39" s="174"/>
      <c r="J39" s="174"/>
      <c r="K39" s="174"/>
      <c r="L39" s="174"/>
      <c r="M39" s="175"/>
    </row>
    <row r="40" spans="1:16" ht="15.75" hidden="1" customHeight="1" thickBot="1" x14ac:dyDescent="0.3">
      <c r="A40" s="76" t="s">
        <v>19</v>
      </c>
      <c r="D40" s="80"/>
      <c r="E40" s="78"/>
      <c r="F40" s="78"/>
      <c r="G40" s="79"/>
      <c r="H40" s="78"/>
      <c r="I40" s="78"/>
      <c r="J40" s="78"/>
      <c r="K40" s="78"/>
      <c r="L40" s="78"/>
      <c r="M40" s="77"/>
    </row>
    <row r="41" spans="1:16" ht="36.75" x14ac:dyDescent="0.45">
      <c r="A41" s="76" t="s">
        <v>30</v>
      </c>
      <c r="D41" s="176" t="s">
        <v>50</v>
      </c>
      <c r="E41" s="177"/>
      <c r="F41" s="178">
        <f>+F7</f>
        <v>42612</v>
      </c>
      <c r="G41" s="179"/>
      <c r="H41" s="179"/>
      <c r="I41" s="179"/>
      <c r="J41" s="179"/>
      <c r="K41" s="179"/>
      <c r="L41" s="179"/>
      <c r="M41" s="180"/>
    </row>
    <row r="42" spans="1:16" ht="37.5" thickBot="1" x14ac:dyDescent="0.5">
      <c r="A42" s="76" t="s">
        <v>30</v>
      </c>
      <c r="D42" s="158" t="s">
        <v>32</v>
      </c>
      <c r="E42" s="159"/>
      <c r="F42" s="160"/>
      <c r="G42" s="161"/>
      <c r="H42" s="161"/>
      <c r="I42" s="161"/>
      <c r="J42" s="161"/>
      <c r="K42" s="161"/>
      <c r="L42" s="161"/>
      <c r="M42" s="162"/>
    </row>
    <row r="43" spans="1:16" ht="80.099999999999994" customHeight="1" thickBot="1" x14ac:dyDescent="0.3">
      <c r="A43" s="76" t="s">
        <v>30</v>
      </c>
      <c r="D43" s="163" t="s">
        <v>51</v>
      </c>
      <c r="E43" s="164"/>
      <c r="F43" s="164"/>
      <c r="G43" s="164"/>
      <c r="H43" s="164"/>
      <c r="I43" s="164"/>
      <c r="J43" s="164"/>
      <c r="K43" s="164"/>
      <c r="L43" s="164"/>
      <c r="M43" s="165"/>
    </row>
    <row r="44" spans="1:16" ht="90" customHeight="1" thickBot="1" x14ac:dyDescent="0.3">
      <c r="A44" s="76" t="s">
        <v>30</v>
      </c>
      <c r="D44" s="166" t="str">
        <f>IF(F6="DELIVER",G6,F6)</f>
        <v>COLLIN 3</v>
      </c>
      <c r="E44" s="167"/>
      <c r="F44" s="167"/>
      <c r="G44" s="167"/>
      <c r="H44" s="167"/>
      <c r="I44" s="167"/>
      <c r="J44" s="167"/>
      <c r="K44" s="167"/>
      <c r="L44" s="167"/>
      <c r="M44" s="168"/>
    </row>
    <row r="45" spans="1:16" ht="60" customHeight="1" thickBot="1" x14ac:dyDescent="0.3">
      <c r="A45" s="76" t="s">
        <v>30</v>
      </c>
      <c r="D45" s="169" t="s">
        <v>55</v>
      </c>
      <c r="E45" s="170"/>
      <c r="F45" s="170"/>
      <c r="G45" s="170"/>
      <c r="H45" s="170"/>
      <c r="I45" s="170"/>
      <c r="J45" s="170"/>
      <c r="K45" s="170"/>
      <c r="L45" s="170"/>
      <c r="M45" s="171"/>
    </row>
  </sheetData>
  <mergeCells count="17">
    <mergeCell ref="D2:M2"/>
    <mergeCell ref="F16:M18"/>
    <mergeCell ref="D33:M33"/>
    <mergeCell ref="D35:M35"/>
    <mergeCell ref="D36:E36"/>
    <mergeCell ref="F36:M36"/>
    <mergeCell ref="D37:E37"/>
    <mergeCell ref="F37:M37"/>
    <mergeCell ref="D38:E38"/>
    <mergeCell ref="F39:M39"/>
    <mergeCell ref="D41:E41"/>
    <mergeCell ref="F41:M41"/>
    <mergeCell ref="D42:E42"/>
    <mergeCell ref="F42:M42"/>
    <mergeCell ref="D43:M43"/>
    <mergeCell ref="D44:M44"/>
    <mergeCell ref="D45:M45"/>
  </mergeCells>
  <conditionalFormatting sqref="F6">
    <cfRule type="cellIs" dxfId="439" priority="5" operator="equal">
      <formula>"DELIVER"</formula>
    </cfRule>
  </conditionalFormatting>
  <conditionalFormatting sqref="D35">
    <cfRule type="cellIs" dxfId="438" priority="4" operator="equal">
      <formula>"DELIVER"</formula>
    </cfRule>
  </conditionalFormatting>
  <conditionalFormatting sqref="D2:M2">
    <cfRule type="expression" dxfId="437" priority="3">
      <formula>$F$6="DELIVER"</formula>
    </cfRule>
  </conditionalFormatting>
  <conditionalFormatting sqref="G6">
    <cfRule type="expression" dxfId="436" priority="2">
      <formula>$F$6="DELIVER"</formula>
    </cfRule>
  </conditionalFormatting>
  <conditionalFormatting sqref="D44">
    <cfRule type="expression" dxfId="43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3" max="16383" man="1"/>
  </rowBreaks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/>
  </sheetViews>
  <sheetFormatPr defaultRowHeight="15" x14ac:dyDescent="0.25"/>
  <sheetData>
    <row r="1" spans="1:26" x14ac:dyDescent="0.25">
      <c r="A1" s="72" t="s">
        <v>1579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1567</v>
      </c>
      <c r="C2" s="72" t="s">
        <v>7</v>
      </c>
      <c r="D2" s="72" t="s">
        <v>1568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884</v>
      </c>
      <c r="E4" s="72" t="s">
        <v>37</v>
      </c>
      <c r="F4" s="72" t="s">
        <v>116</v>
      </c>
      <c r="K4" s="72" t="s">
        <v>42</v>
      </c>
      <c r="M4" s="72" t="s">
        <v>1569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1570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1571</v>
      </c>
      <c r="W6" s="72" t="s">
        <v>1572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1573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1574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148</v>
      </c>
      <c r="C13" s="72" t="s">
        <v>956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149</v>
      </c>
      <c r="C14" s="72" t="s">
        <v>957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150</v>
      </c>
      <c r="C15" s="72" t="s">
        <v>959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151</v>
      </c>
      <c r="C16" s="72" t="s">
        <v>961</v>
      </c>
      <c r="E16" s="72" t="s">
        <v>571</v>
      </c>
      <c r="F16" s="72" t="s">
        <v>575</v>
      </c>
    </row>
    <row r="17" spans="1:17" x14ac:dyDescent="0.25">
      <c r="A17" s="72" t="s">
        <v>173</v>
      </c>
      <c r="B17" s="72" t="s">
        <v>152</v>
      </c>
      <c r="C17" s="72" t="s">
        <v>963</v>
      </c>
      <c r="E17" s="72" t="s">
        <v>572</v>
      </c>
      <c r="F17" s="72" t="s">
        <v>576</v>
      </c>
    </row>
    <row r="18" spans="1:17" x14ac:dyDescent="0.25">
      <c r="A18" s="72" t="s">
        <v>173</v>
      </c>
      <c r="B18" s="72" t="s">
        <v>207</v>
      </c>
      <c r="C18" s="72" t="s">
        <v>965</v>
      </c>
      <c r="E18" s="72" t="s">
        <v>573</v>
      </c>
      <c r="F18" s="72" t="s">
        <v>577</v>
      </c>
    </row>
    <row r="19" spans="1:17" x14ac:dyDescent="0.25">
      <c r="A19" s="72" t="s">
        <v>6</v>
      </c>
      <c r="B19" s="72" t="s">
        <v>148</v>
      </c>
      <c r="C19" s="72" t="s">
        <v>135</v>
      </c>
      <c r="E19" s="72" t="s">
        <v>138</v>
      </c>
      <c r="F19" s="72" t="s">
        <v>139</v>
      </c>
    </row>
    <row r="20" spans="1:17" x14ac:dyDescent="0.25">
      <c r="A20" s="72" t="s">
        <v>6</v>
      </c>
      <c r="B20" s="72" t="s">
        <v>149</v>
      </c>
      <c r="E20" s="72" t="s">
        <v>1575</v>
      </c>
      <c r="F20" s="72" t="s">
        <v>1576</v>
      </c>
    </row>
    <row r="21" spans="1:17" x14ac:dyDescent="0.25">
      <c r="B21" s="72" t="s">
        <v>150</v>
      </c>
      <c r="E21" s="72" t="s">
        <v>20</v>
      </c>
      <c r="F21" s="72" t="s">
        <v>144</v>
      </c>
    </row>
    <row r="22" spans="1:17" x14ac:dyDescent="0.25">
      <c r="B22" s="72" t="s">
        <v>151</v>
      </c>
    </row>
    <row r="23" spans="1:17" x14ac:dyDescent="0.25">
      <c r="B23" s="72" t="s">
        <v>152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33</v>
      </c>
      <c r="H25" s="72" t="s">
        <v>53</v>
      </c>
    </row>
    <row r="26" spans="1:17" x14ac:dyDescent="0.25">
      <c r="B26" s="72" t="s">
        <v>226</v>
      </c>
    </row>
    <row r="27" spans="1:17" x14ac:dyDescent="0.25">
      <c r="B27" s="72" t="s">
        <v>534</v>
      </c>
      <c r="E27" s="72" t="s">
        <v>32</v>
      </c>
      <c r="H27" s="72" t="s">
        <v>54</v>
      </c>
    </row>
    <row r="28" spans="1:17" x14ac:dyDescent="0.25">
      <c r="B28" s="72" t="s">
        <v>535</v>
      </c>
      <c r="C28" s="72" t="s">
        <v>52</v>
      </c>
      <c r="D28" s="72" t="s">
        <v>52</v>
      </c>
    </row>
    <row r="29" spans="1:17" x14ac:dyDescent="0.25">
      <c r="B29" s="72" t="s">
        <v>536</v>
      </c>
      <c r="C29" s="72" t="s">
        <v>79</v>
      </c>
      <c r="D29" s="72" t="s">
        <v>28</v>
      </c>
      <c r="E29" s="72" t="s">
        <v>26</v>
      </c>
      <c r="F29" s="72" t="s">
        <v>29</v>
      </c>
      <c r="G29" s="72" t="s">
        <v>57</v>
      </c>
      <c r="H29" s="72" t="s">
        <v>27</v>
      </c>
      <c r="I29" s="72" t="s">
        <v>25</v>
      </c>
      <c r="J29" s="72" t="s">
        <v>10</v>
      </c>
      <c r="K29" s="72" t="s">
        <v>24</v>
      </c>
      <c r="M29" s="72" t="s">
        <v>31</v>
      </c>
      <c r="N29" s="72" t="s">
        <v>21</v>
      </c>
      <c r="O29" s="72" t="s">
        <v>22</v>
      </c>
      <c r="P29" s="72" t="s">
        <v>23</v>
      </c>
    </row>
    <row r="30" spans="1:17" ht="105" x14ac:dyDescent="0.25">
      <c r="B30" s="72" t="s">
        <v>236</v>
      </c>
      <c r="C30" s="72" t="s">
        <v>1577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966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ht="105" x14ac:dyDescent="0.25">
      <c r="A32" s="72" t="s">
        <v>174</v>
      </c>
      <c r="B32" s="72" t="s">
        <v>297</v>
      </c>
      <c r="C32" s="72" t="s">
        <v>967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17" ht="105" x14ac:dyDescent="0.25">
      <c r="A33" s="72" t="s">
        <v>174</v>
      </c>
      <c r="B33" s="72" t="s">
        <v>300</v>
      </c>
      <c r="C33" s="72" t="s">
        <v>968</v>
      </c>
      <c r="D33" s="72" t="s">
        <v>320</v>
      </c>
      <c r="E33" s="72" t="s">
        <v>328</v>
      </c>
      <c r="F33" s="72" t="s">
        <v>336</v>
      </c>
      <c r="G33" s="73" t="s">
        <v>301</v>
      </c>
      <c r="H33" s="72" t="s">
        <v>344</v>
      </c>
      <c r="I33" s="72" t="s">
        <v>352</v>
      </c>
      <c r="J33" s="72" t="s">
        <v>360</v>
      </c>
      <c r="N33" s="72" t="s">
        <v>302</v>
      </c>
      <c r="O33" s="72" t="s">
        <v>368</v>
      </c>
      <c r="P33" s="72" t="s">
        <v>376</v>
      </c>
      <c r="Q33" s="73" t="s">
        <v>56</v>
      </c>
    </row>
    <row r="34" spans="1:17" ht="105" x14ac:dyDescent="0.25">
      <c r="A34" s="72" t="s">
        <v>174</v>
      </c>
      <c r="B34" s="72" t="s">
        <v>303</v>
      </c>
      <c r="C34" s="72" t="s">
        <v>969</v>
      </c>
      <c r="D34" s="72" t="s">
        <v>321</v>
      </c>
      <c r="E34" s="72" t="s">
        <v>329</v>
      </c>
      <c r="F34" s="72" t="s">
        <v>337</v>
      </c>
      <c r="G34" s="73" t="s">
        <v>304</v>
      </c>
      <c r="H34" s="72" t="s">
        <v>345</v>
      </c>
      <c r="I34" s="72" t="s">
        <v>353</v>
      </c>
      <c r="J34" s="72" t="s">
        <v>361</v>
      </c>
      <c r="N34" s="72" t="s">
        <v>305</v>
      </c>
      <c r="O34" s="72" t="s">
        <v>369</v>
      </c>
      <c r="P34" s="72" t="s">
        <v>377</v>
      </c>
      <c r="Q34" s="73" t="s">
        <v>56</v>
      </c>
    </row>
    <row r="35" spans="1:17" ht="105" x14ac:dyDescent="0.25">
      <c r="A35" s="72" t="s">
        <v>174</v>
      </c>
      <c r="B35" s="72" t="s">
        <v>306</v>
      </c>
      <c r="C35" s="72" t="s">
        <v>970</v>
      </c>
      <c r="D35" s="72" t="s">
        <v>322</v>
      </c>
      <c r="E35" s="72" t="s">
        <v>330</v>
      </c>
      <c r="F35" s="72" t="s">
        <v>338</v>
      </c>
      <c r="G35" s="73" t="s">
        <v>307</v>
      </c>
      <c r="H35" s="72" t="s">
        <v>346</v>
      </c>
      <c r="I35" s="72" t="s">
        <v>354</v>
      </c>
      <c r="J35" s="72" t="s">
        <v>362</v>
      </c>
      <c r="N35" s="72" t="s">
        <v>308</v>
      </c>
      <c r="O35" s="72" t="s">
        <v>370</v>
      </c>
      <c r="P35" s="72" t="s">
        <v>378</v>
      </c>
      <c r="Q35" s="73" t="s">
        <v>56</v>
      </c>
    </row>
    <row r="36" spans="1:17" ht="105" x14ac:dyDescent="0.25">
      <c r="A36" s="72" t="s">
        <v>174</v>
      </c>
      <c r="B36" s="72" t="s">
        <v>309</v>
      </c>
      <c r="C36" s="72" t="s">
        <v>971</v>
      </c>
      <c r="D36" s="72" t="s">
        <v>323</v>
      </c>
      <c r="E36" s="72" t="s">
        <v>331</v>
      </c>
      <c r="F36" s="72" t="s">
        <v>339</v>
      </c>
      <c r="G36" s="73" t="s">
        <v>310</v>
      </c>
      <c r="H36" s="72" t="s">
        <v>347</v>
      </c>
      <c r="I36" s="72" t="s">
        <v>355</v>
      </c>
      <c r="J36" s="72" t="s">
        <v>363</v>
      </c>
      <c r="N36" s="72" t="s">
        <v>311</v>
      </c>
      <c r="O36" s="72" t="s">
        <v>371</v>
      </c>
      <c r="P36" s="72" t="s">
        <v>379</v>
      </c>
      <c r="Q36" s="73" t="s">
        <v>56</v>
      </c>
    </row>
    <row r="37" spans="1:17" ht="105" x14ac:dyDescent="0.25">
      <c r="A37" s="72" t="s">
        <v>174</v>
      </c>
      <c r="B37" s="72" t="s">
        <v>312</v>
      </c>
      <c r="C37" s="72" t="s">
        <v>972</v>
      </c>
      <c r="D37" s="72" t="s">
        <v>324</v>
      </c>
      <c r="E37" s="72" t="s">
        <v>332</v>
      </c>
      <c r="F37" s="72" t="s">
        <v>340</v>
      </c>
      <c r="G37" s="73" t="s">
        <v>313</v>
      </c>
      <c r="H37" s="72" t="s">
        <v>348</v>
      </c>
      <c r="I37" s="72" t="s">
        <v>356</v>
      </c>
      <c r="J37" s="72" t="s">
        <v>364</v>
      </c>
      <c r="N37" s="72" t="s">
        <v>314</v>
      </c>
      <c r="O37" s="72" t="s">
        <v>372</v>
      </c>
      <c r="P37" s="72" t="s">
        <v>380</v>
      </c>
      <c r="Q37" s="73" t="s">
        <v>56</v>
      </c>
    </row>
    <row r="38" spans="1:17" ht="105" x14ac:dyDescent="0.25">
      <c r="A38" s="72" t="s">
        <v>174</v>
      </c>
      <c r="B38" s="72" t="s">
        <v>315</v>
      </c>
      <c r="C38" s="72" t="s">
        <v>973</v>
      </c>
      <c r="D38" s="72" t="s">
        <v>325</v>
      </c>
      <c r="E38" s="72" t="s">
        <v>333</v>
      </c>
      <c r="F38" s="72" t="s">
        <v>341</v>
      </c>
      <c r="G38" s="73" t="s">
        <v>316</v>
      </c>
      <c r="H38" s="72" t="s">
        <v>349</v>
      </c>
      <c r="I38" s="72" t="s">
        <v>357</v>
      </c>
      <c r="J38" s="72" t="s">
        <v>365</v>
      </c>
      <c r="N38" s="72" t="s">
        <v>317</v>
      </c>
      <c r="O38" s="72" t="s">
        <v>373</v>
      </c>
      <c r="P38" s="72" t="s">
        <v>381</v>
      </c>
      <c r="Q38" s="73" t="s">
        <v>56</v>
      </c>
    </row>
    <row r="39" spans="1:17" ht="105" x14ac:dyDescent="0.25">
      <c r="A39" s="72" t="s">
        <v>174</v>
      </c>
      <c r="B39" s="72" t="s">
        <v>538</v>
      </c>
      <c r="C39" s="72" t="s">
        <v>974</v>
      </c>
      <c r="D39" s="72" t="s">
        <v>579</v>
      </c>
      <c r="E39" s="72" t="s">
        <v>590</v>
      </c>
      <c r="F39" s="72" t="s">
        <v>601</v>
      </c>
      <c r="G39" s="73" t="s">
        <v>539</v>
      </c>
      <c r="H39" s="72" t="s">
        <v>612</v>
      </c>
      <c r="I39" s="72" t="s">
        <v>623</v>
      </c>
      <c r="J39" s="72" t="s">
        <v>634</v>
      </c>
      <c r="N39" s="72" t="s">
        <v>540</v>
      </c>
      <c r="O39" s="72" t="s">
        <v>645</v>
      </c>
      <c r="P39" s="72" t="s">
        <v>656</v>
      </c>
      <c r="Q39" s="73" t="s">
        <v>56</v>
      </c>
    </row>
    <row r="40" spans="1:17" ht="105" x14ac:dyDescent="0.25">
      <c r="A40" s="72" t="s">
        <v>174</v>
      </c>
      <c r="B40" s="72" t="s">
        <v>541</v>
      </c>
      <c r="C40" s="72" t="s">
        <v>975</v>
      </c>
      <c r="D40" s="72" t="s">
        <v>580</v>
      </c>
      <c r="E40" s="72" t="s">
        <v>591</v>
      </c>
      <c r="F40" s="72" t="s">
        <v>602</v>
      </c>
      <c r="G40" s="73" t="s">
        <v>542</v>
      </c>
      <c r="H40" s="72" t="s">
        <v>613</v>
      </c>
      <c r="I40" s="72" t="s">
        <v>624</v>
      </c>
      <c r="J40" s="72" t="s">
        <v>635</v>
      </c>
      <c r="N40" s="72" t="s">
        <v>543</v>
      </c>
      <c r="O40" s="72" t="s">
        <v>646</v>
      </c>
      <c r="P40" s="72" t="s">
        <v>657</v>
      </c>
      <c r="Q40" s="73" t="s">
        <v>56</v>
      </c>
    </row>
    <row r="41" spans="1:17" x14ac:dyDescent="0.25">
      <c r="B41" s="72" t="s">
        <v>536</v>
      </c>
    </row>
    <row r="42" spans="1:17" x14ac:dyDescent="0.25">
      <c r="B42" s="72" t="s">
        <v>1578</v>
      </c>
      <c r="D42" s="72" t="s">
        <v>166</v>
      </c>
    </row>
    <row r="44" spans="1:17" x14ac:dyDescent="0.25">
      <c r="A44" s="72" t="s">
        <v>30</v>
      </c>
      <c r="D44" s="72" t="s">
        <v>167</v>
      </c>
    </row>
    <row r="45" spans="1:17" x14ac:dyDescent="0.25">
      <c r="A45" s="72" t="s">
        <v>30</v>
      </c>
      <c r="D45" s="72" t="s">
        <v>12</v>
      </c>
      <c r="F45" s="72" t="s">
        <v>168</v>
      </c>
    </row>
    <row r="46" spans="1:17" x14ac:dyDescent="0.25">
      <c r="A46" s="72" t="s">
        <v>30</v>
      </c>
      <c r="D46" s="72" t="s">
        <v>5</v>
      </c>
      <c r="F46" s="72" t="s">
        <v>169</v>
      </c>
    </row>
    <row r="47" spans="1:17" x14ac:dyDescent="0.25">
      <c r="A47" s="72" t="s">
        <v>19</v>
      </c>
      <c r="D47" s="72" t="s">
        <v>49</v>
      </c>
    </row>
    <row r="48" spans="1:17" x14ac:dyDescent="0.25">
      <c r="A48" s="72" t="s">
        <v>19</v>
      </c>
      <c r="F48" s="72" t="s">
        <v>170</v>
      </c>
    </row>
    <row r="49" spans="1:6" x14ac:dyDescent="0.25">
      <c r="A49" s="72" t="s">
        <v>184</v>
      </c>
      <c r="F49" s="72" t="s">
        <v>958</v>
      </c>
    </row>
    <row r="50" spans="1:6" x14ac:dyDescent="0.25">
      <c r="A50" s="72" t="s">
        <v>184</v>
      </c>
      <c r="F50" s="72" t="s">
        <v>960</v>
      </c>
    </row>
    <row r="51" spans="1:6" x14ac:dyDescent="0.25">
      <c r="A51" s="72" t="s">
        <v>184</v>
      </c>
      <c r="F51" s="72" t="s">
        <v>962</v>
      </c>
    </row>
    <row r="52" spans="1:6" x14ac:dyDescent="0.25">
      <c r="A52" s="72" t="s">
        <v>184</v>
      </c>
      <c r="F52" s="72" t="s">
        <v>964</v>
      </c>
    </row>
    <row r="53" spans="1:6" x14ac:dyDescent="0.25">
      <c r="A53" s="72" t="s">
        <v>19</v>
      </c>
    </row>
    <row r="54" spans="1:6" x14ac:dyDescent="0.25">
      <c r="A54" s="72" t="s">
        <v>30</v>
      </c>
      <c r="D54" s="72" t="s">
        <v>50</v>
      </c>
      <c r="F54" s="72" t="s">
        <v>171</v>
      </c>
    </row>
    <row r="55" spans="1:6" x14ac:dyDescent="0.25">
      <c r="A55" s="72" t="s">
        <v>30</v>
      </c>
      <c r="D55" s="72" t="s">
        <v>32</v>
      </c>
    </row>
    <row r="56" spans="1:6" x14ac:dyDescent="0.25">
      <c r="A56" s="72" t="s">
        <v>30</v>
      </c>
      <c r="D56" s="72" t="s">
        <v>51</v>
      </c>
    </row>
    <row r="57" spans="1:6" x14ac:dyDescent="0.25">
      <c r="A57" s="72" t="s">
        <v>30</v>
      </c>
      <c r="D57" s="72" t="s">
        <v>172</v>
      </c>
    </row>
    <row r="58" spans="1:6" x14ac:dyDescent="0.25">
      <c r="A58" s="72" t="s">
        <v>30</v>
      </c>
      <c r="D58" s="72" t="s">
        <v>55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/>
  </sheetViews>
  <sheetFormatPr defaultRowHeight="15" x14ac:dyDescent="0.25"/>
  <sheetData>
    <row r="1" spans="1:26" x14ac:dyDescent="0.25">
      <c r="A1" s="72" t="s">
        <v>1581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493</v>
      </c>
      <c r="E4" s="72" t="s">
        <v>37</v>
      </c>
      <c r="F4" s="72" t="s">
        <v>116</v>
      </c>
      <c r="K4" s="72" t="s">
        <v>42</v>
      </c>
      <c r="M4" s="72" t="s">
        <v>976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977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978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979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79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980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981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982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207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19</v>
      </c>
    </row>
    <row r="38" spans="1:6" x14ac:dyDescent="0.25">
      <c r="A38" s="72" t="s">
        <v>30</v>
      </c>
      <c r="D38" s="72" t="s">
        <v>50</v>
      </c>
      <c r="F38" s="72" t="s">
        <v>171</v>
      </c>
    </row>
    <row r="39" spans="1:6" x14ac:dyDescent="0.25">
      <c r="A39" s="72" t="s">
        <v>30</v>
      </c>
      <c r="D39" s="72" t="s">
        <v>32</v>
      </c>
    </row>
    <row r="40" spans="1:6" x14ac:dyDescent="0.25">
      <c r="A40" s="72" t="s">
        <v>30</v>
      </c>
      <c r="D40" s="72" t="s">
        <v>51</v>
      </c>
    </row>
    <row r="41" spans="1:6" x14ac:dyDescent="0.25">
      <c r="A41" s="72" t="s">
        <v>30</v>
      </c>
      <c r="D41" s="72" t="s">
        <v>172</v>
      </c>
    </row>
    <row r="42" spans="1:6" x14ac:dyDescent="0.25">
      <c r="A42" s="72" t="s">
        <v>30</v>
      </c>
      <c r="D42" s="72" t="s">
        <v>55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/>
  </sheetViews>
  <sheetFormatPr defaultRowHeight="15" x14ac:dyDescent="0.25"/>
  <sheetData>
    <row r="1" spans="1:26" x14ac:dyDescent="0.25">
      <c r="A1" s="72" t="s">
        <v>1583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809</v>
      </c>
      <c r="E4" s="72" t="s">
        <v>37</v>
      </c>
      <c r="F4" s="72" t="s">
        <v>116</v>
      </c>
      <c r="K4" s="72" t="s">
        <v>42</v>
      </c>
      <c r="M4" s="72" t="s">
        <v>913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914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915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983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79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984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985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986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987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988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989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x14ac:dyDescent="0.25">
      <c r="B32" s="72" t="s">
        <v>207</v>
      </c>
    </row>
    <row r="33" spans="1:6" x14ac:dyDescent="0.25">
      <c r="B33" s="72" t="s">
        <v>242</v>
      </c>
      <c r="D33" s="72" t="s">
        <v>166</v>
      </c>
    </row>
    <row r="35" spans="1:6" x14ac:dyDescent="0.25">
      <c r="A35" s="72" t="s">
        <v>30</v>
      </c>
      <c r="D35" s="72" t="s">
        <v>167</v>
      </c>
    </row>
    <row r="36" spans="1:6" x14ac:dyDescent="0.25">
      <c r="A36" s="72" t="s">
        <v>30</v>
      </c>
      <c r="D36" s="72" t="s">
        <v>12</v>
      </c>
      <c r="F36" s="72" t="s">
        <v>168</v>
      </c>
    </row>
    <row r="37" spans="1:6" x14ac:dyDescent="0.25">
      <c r="A37" s="72" t="s">
        <v>30</v>
      </c>
      <c r="D37" s="72" t="s">
        <v>5</v>
      </c>
      <c r="F37" s="72" t="s">
        <v>169</v>
      </c>
    </row>
    <row r="38" spans="1:6" x14ac:dyDescent="0.25">
      <c r="A38" s="72" t="s">
        <v>19</v>
      </c>
      <c r="D38" s="72" t="s">
        <v>49</v>
      </c>
    </row>
    <row r="39" spans="1:6" x14ac:dyDescent="0.25">
      <c r="A39" s="72" t="s">
        <v>19</v>
      </c>
      <c r="F39" s="72" t="s">
        <v>170</v>
      </c>
    </row>
    <row r="40" spans="1:6" x14ac:dyDescent="0.25">
      <c r="A40" s="72" t="s">
        <v>19</v>
      </c>
    </row>
    <row r="41" spans="1:6" x14ac:dyDescent="0.25">
      <c r="A41" s="72" t="s">
        <v>30</v>
      </c>
      <c r="D41" s="72" t="s">
        <v>50</v>
      </c>
      <c r="F41" s="72" t="s">
        <v>171</v>
      </c>
    </row>
    <row r="42" spans="1:6" x14ac:dyDescent="0.25">
      <c r="A42" s="72" t="s">
        <v>30</v>
      </c>
      <c r="D42" s="72" t="s">
        <v>32</v>
      </c>
    </row>
    <row r="43" spans="1:6" x14ac:dyDescent="0.25">
      <c r="A43" s="72" t="s">
        <v>30</v>
      </c>
      <c r="D43" s="72" t="s">
        <v>51</v>
      </c>
    </row>
    <row r="44" spans="1:6" x14ac:dyDescent="0.25">
      <c r="A44" s="72" t="s">
        <v>30</v>
      </c>
      <c r="D44" s="72" t="s">
        <v>172</v>
      </c>
    </row>
    <row r="45" spans="1:6" x14ac:dyDescent="0.25">
      <c r="A45" s="72" t="s">
        <v>30</v>
      </c>
      <c r="D45" s="72" t="s">
        <v>55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/>
  </sheetViews>
  <sheetFormatPr defaultRowHeight="15" x14ac:dyDescent="0.25"/>
  <sheetData>
    <row r="1" spans="1:26" x14ac:dyDescent="0.25">
      <c r="A1" s="72" t="s">
        <v>1585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852</v>
      </c>
      <c r="E4" s="72" t="s">
        <v>37</v>
      </c>
      <c r="F4" s="72" t="s">
        <v>116</v>
      </c>
      <c r="K4" s="72" t="s">
        <v>42</v>
      </c>
      <c r="M4" s="72" t="s">
        <v>671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672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673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990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991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992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994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79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995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996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997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ht="105" x14ac:dyDescent="0.25">
      <c r="A32" s="72" t="s">
        <v>174</v>
      </c>
      <c r="B32" s="72" t="s">
        <v>297</v>
      </c>
      <c r="C32" s="72" t="s">
        <v>998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6" x14ac:dyDescent="0.25">
      <c r="B33" s="72" t="s">
        <v>534</v>
      </c>
    </row>
    <row r="34" spans="1:6" x14ac:dyDescent="0.25">
      <c r="B34" s="72" t="s">
        <v>679</v>
      </c>
      <c r="D34" s="72" t="s">
        <v>166</v>
      </c>
    </row>
    <row r="36" spans="1:6" x14ac:dyDescent="0.25">
      <c r="A36" s="72" t="s">
        <v>30</v>
      </c>
      <c r="D36" s="72" t="s">
        <v>167</v>
      </c>
    </row>
    <row r="37" spans="1:6" x14ac:dyDescent="0.25">
      <c r="A37" s="72" t="s">
        <v>30</v>
      </c>
      <c r="D37" s="72" t="s">
        <v>12</v>
      </c>
      <c r="F37" s="72" t="s">
        <v>168</v>
      </c>
    </row>
    <row r="38" spans="1:6" x14ac:dyDescent="0.25">
      <c r="A38" s="72" t="s">
        <v>30</v>
      </c>
      <c r="D38" s="72" t="s">
        <v>5</v>
      </c>
      <c r="F38" s="72" t="s">
        <v>169</v>
      </c>
    </row>
    <row r="39" spans="1:6" x14ac:dyDescent="0.25">
      <c r="A39" s="72" t="s">
        <v>19</v>
      </c>
      <c r="D39" s="72" t="s">
        <v>49</v>
      </c>
    </row>
    <row r="40" spans="1:6" x14ac:dyDescent="0.25">
      <c r="A40" s="72" t="s">
        <v>19</v>
      </c>
      <c r="F40" s="72" t="s">
        <v>170</v>
      </c>
    </row>
    <row r="41" spans="1:6" x14ac:dyDescent="0.25">
      <c r="A41" s="72" t="s">
        <v>184</v>
      </c>
      <c r="F41" s="72" t="s">
        <v>993</v>
      </c>
    </row>
    <row r="42" spans="1:6" x14ac:dyDescent="0.25">
      <c r="A42" s="72" t="s">
        <v>19</v>
      </c>
    </row>
    <row r="43" spans="1:6" x14ac:dyDescent="0.25">
      <c r="A43" s="72" t="s">
        <v>30</v>
      </c>
      <c r="D43" s="72" t="s">
        <v>50</v>
      </c>
      <c r="F43" s="72" t="s">
        <v>171</v>
      </c>
    </row>
    <row r="44" spans="1:6" x14ac:dyDescent="0.25">
      <c r="A44" s="72" t="s">
        <v>30</v>
      </c>
      <c r="D44" s="72" t="s">
        <v>32</v>
      </c>
    </row>
    <row r="45" spans="1:6" x14ac:dyDescent="0.25">
      <c r="A45" s="72" t="s">
        <v>30</v>
      </c>
      <c r="D45" s="72" t="s">
        <v>51</v>
      </c>
    </row>
    <row r="46" spans="1:6" x14ac:dyDescent="0.25">
      <c r="A46" s="72" t="s">
        <v>30</v>
      </c>
      <c r="D46" s="72" t="s">
        <v>172</v>
      </c>
    </row>
    <row r="47" spans="1:6" x14ac:dyDescent="0.25">
      <c r="A47" s="72" t="s">
        <v>30</v>
      </c>
      <c r="D47" s="72" t="s">
        <v>55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/>
  </sheetViews>
  <sheetFormatPr defaultRowHeight="15" x14ac:dyDescent="0.25"/>
  <sheetData>
    <row r="1" spans="1:26" x14ac:dyDescent="0.25">
      <c r="A1" s="72" t="s">
        <v>1587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999</v>
      </c>
      <c r="E4" s="72" t="s">
        <v>37</v>
      </c>
      <c r="F4" s="72" t="s">
        <v>116</v>
      </c>
      <c r="K4" s="72" t="s">
        <v>42</v>
      </c>
      <c r="M4" s="72" t="s">
        <v>1000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1001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1002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1003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79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1004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1005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1006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1007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x14ac:dyDescent="0.25">
      <c r="B30" s="72" t="s">
        <v>207</v>
      </c>
    </row>
    <row r="31" spans="1:17" x14ac:dyDescent="0.25">
      <c r="B31" s="72" t="s">
        <v>692</v>
      </c>
      <c r="D31" s="72" t="s">
        <v>166</v>
      </c>
    </row>
    <row r="33" spans="1:6" x14ac:dyDescent="0.25">
      <c r="A33" s="72" t="s">
        <v>30</v>
      </c>
      <c r="D33" s="72" t="s">
        <v>167</v>
      </c>
    </row>
    <row r="34" spans="1:6" x14ac:dyDescent="0.25">
      <c r="A34" s="72" t="s">
        <v>30</v>
      </c>
      <c r="D34" s="72" t="s">
        <v>12</v>
      </c>
      <c r="F34" s="72" t="s">
        <v>168</v>
      </c>
    </row>
    <row r="35" spans="1:6" x14ac:dyDescent="0.25">
      <c r="A35" s="72" t="s">
        <v>30</v>
      </c>
      <c r="D35" s="72" t="s">
        <v>5</v>
      </c>
      <c r="F35" s="72" t="s">
        <v>169</v>
      </c>
    </row>
    <row r="36" spans="1:6" x14ac:dyDescent="0.25">
      <c r="A36" s="72" t="s">
        <v>19</v>
      </c>
      <c r="D36" s="72" t="s">
        <v>49</v>
      </c>
    </row>
    <row r="37" spans="1:6" x14ac:dyDescent="0.25">
      <c r="A37" s="72" t="s">
        <v>19</v>
      </c>
      <c r="F37" s="72" t="s">
        <v>170</v>
      </c>
    </row>
    <row r="38" spans="1:6" x14ac:dyDescent="0.25">
      <c r="A38" s="72" t="s">
        <v>19</v>
      </c>
    </row>
    <row r="39" spans="1:6" x14ac:dyDescent="0.25">
      <c r="A39" s="72" t="s">
        <v>30</v>
      </c>
      <c r="D39" s="72" t="s">
        <v>50</v>
      </c>
      <c r="F39" s="72" t="s">
        <v>171</v>
      </c>
    </row>
    <row r="40" spans="1:6" x14ac:dyDescent="0.25">
      <c r="A40" s="72" t="s">
        <v>30</v>
      </c>
      <c r="D40" s="72" t="s">
        <v>32</v>
      </c>
    </row>
    <row r="41" spans="1:6" x14ac:dyDescent="0.25">
      <c r="A41" s="72" t="s">
        <v>30</v>
      </c>
      <c r="D41" s="72" t="s">
        <v>51</v>
      </c>
    </row>
    <row r="42" spans="1:6" x14ac:dyDescent="0.25">
      <c r="A42" s="72" t="s">
        <v>30</v>
      </c>
      <c r="D42" s="72" t="s">
        <v>172</v>
      </c>
    </row>
    <row r="43" spans="1:6" x14ac:dyDescent="0.25">
      <c r="A43" s="72" t="s">
        <v>30</v>
      </c>
      <c r="D43" s="72" t="s">
        <v>55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workbookViewId="0"/>
  </sheetViews>
  <sheetFormatPr defaultRowHeight="15" x14ac:dyDescent="0.25"/>
  <sheetData>
    <row r="1" spans="1:26" x14ac:dyDescent="0.25">
      <c r="A1" s="72" t="s">
        <v>1604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1589</v>
      </c>
      <c r="C2" s="72" t="s">
        <v>7</v>
      </c>
      <c r="D2" s="72" t="s">
        <v>1590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841</v>
      </c>
      <c r="E4" s="72" t="s">
        <v>37</v>
      </c>
      <c r="F4" s="72" t="s">
        <v>116</v>
      </c>
      <c r="K4" s="72" t="s">
        <v>42</v>
      </c>
      <c r="M4" s="72" t="s">
        <v>1591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1592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1593</v>
      </c>
      <c r="W6" s="72" t="s">
        <v>1594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433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1595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152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207</v>
      </c>
      <c r="C13" s="72" t="s">
        <v>1008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225</v>
      </c>
      <c r="C14" s="72" t="s">
        <v>1009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226</v>
      </c>
      <c r="C15" s="72" t="s">
        <v>1010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534</v>
      </c>
      <c r="C16" s="72" t="s">
        <v>1011</v>
      </c>
      <c r="E16" s="72" t="s">
        <v>571</v>
      </c>
      <c r="F16" s="72" t="s">
        <v>575</v>
      </c>
    </row>
    <row r="17" spans="1:8" x14ac:dyDescent="0.25">
      <c r="A17" s="72" t="s">
        <v>173</v>
      </c>
      <c r="B17" s="72" t="s">
        <v>535</v>
      </c>
      <c r="C17" s="72" t="s">
        <v>1012</v>
      </c>
      <c r="E17" s="72" t="s">
        <v>572</v>
      </c>
      <c r="F17" s="72" t="s">
        <v>576</v>
      </c>
    </row>
    <row r="18" spans="1:8" x14ac:dyDescent="0.25">
      <c r="A18" s="72" t="s">
        <v>173</v>
      </c>
      <c r="B18" s="72" t="s">
        <v>536</v>
      </c>
      <c r="C18" s="72" t="s">
        <v>1013</v>
      </c>
      <c r="E18" s="72" t="s">
        <v>573</v>
      </c>
      <c r="F18" s="72" t="s">
        <v>577</v>
      </c>
    </row>
    <row r="19" spans="1:8" x14ac:dyDescent="0.25">
      <c r="A19" s="72" t="s">
        <v>173</v>
      </c>
      <c r="B19" s="72" t="s">
        <v>537</v>
      </c>
      <c r="C19" s="72" t="s">
        <v>1015</v>
      </c>
      <c r="E19" s="72" t="s">
        <v>574</v>
      </c>
      <c r="F19" s="72" t="s">
        <v>578</v>
      </c>
    </row>
    <row r="20" spans="1:8" x14ac:dyDescent="0.25">
      <c r="A20" s="72" t="s">
        <v>173</v>
      </c>
      <c r="B20" s="72" t="s">
        <v>710</v>
      </c>
      <c r="C20" s="72" t="s">
        <v>1017</v>
      </c>
      <c r="E20" s="72" t="s">
        <v>712</v>
      </c>
      <c r="F20" s="72" t="s">
        <v>713</v>
      </c>
    </row>
    <row r="21" spans="1:8" x14ac:dyDescent="0.25">
      <c r="A21" s="72" t="s">
        <v>173</v>
      </c>
      <c r="B21" s="72" t="s">
        <v>1014</v>
      </c>
      <c r="C21" s="72" t="s">
        <v>1019</v>
      </c>
      <c r="E21" s="72" t="s">
        <v>1028</v>
      </c>
      <c r="F21" s="72" t="s">
        <v>1031</v>
      </c>
    </row>
    <row r="22" spans="1:8" x14ac:dyDescent="0.25">
      <c r="A22" s="72" t="s">
        <v>173</v>
      </c>
      <c r="B22" s="72" t="s">
        <v>1016</v>
      </c>
      <c r="C22" s="72" t="s">
        <v>1020</v>
      </c>
      <c r="E22" s="72" t="s">
        <v>1029</v>
      </c>
      <c r="F22" s="72" t="s">
        <v>1032</v>
      </c>
    </row>
    <row r="23" spans="1:8" x14ac:dyDescent="0.25">
      <c r="A23" s="72" t="s">
        <v>173</v>
      </c>
      <c r="B23" s="72" t="s">
        <v>1018</v>
      </c>
      <c r="C23" s="72" t="s">
        <v>1021</v>
      </c>
      <c r="E23" s="72" t="s">
        <v>1030</v>
      </c>
      <c r="F23" s="72" t="s">
        <v>1033</v>
      </c>
    </row>
    <row r="24" spans="1:8" x14ac:dyDescent="0.25">
      <c r="A24" s="72" t="s">
        <v>6</v>
      </c>
      <c r="B24" s="72" t="s">
        <v>207</v>
      </c>
      <c r="C24" s="72" t="s">
        <v>135</v>
      </c>
      <c r="E24" s="72" t="s">
        <v>138</v>
      </c>
      <c r="F24" s="72" t="s">
        <v>139</v>
      </c>
    </row>
    <row r="25" spans="1:8" x14ac:dyDescent="0.25">
      <c r="A25" s="72" t="s">
        <v>6</v>
      </c>
      <c r="B25" s="72" t="s">
        <v>225</v>
      </c>
      <c r="E25" s="72" t="s">
        <v>1596</v>
      </c>
      <c r="F25" s="72" t="s">
        <v>1597</v>
      </c>
    </row>
    <row r="26" spans="1:8" x14ac:dyDescent="0.25">
      <c r="B26" s="72" t="s">
        <v>226</v>
      </c>
      <c r="E26" s="72" t="s">
        <v>20</v>
      </c>
      <c r="F26" s="72" t="s">
        <v>144</v>
      </c>
    </row>
    <row r="27" spans="1:8" x14ac:dyDescent="0.25">
      <c r="B27" s="72" t="s">
        <v>534</v>
      </c>
    </row>
    <row r="28" spans="1:8" x14ac:dyDescent="0.25">
      <c r="B28" s="72" t="s">
        <v>535</v>
      </c>
    </row>
    <row r="29" spans="1:8" x14ac:dyDescent="0.25">
      <c r="B29" s="72" t="s">
        <v>536</v>
      </c>
    </row>
    <row r="30" spans="1:8" x14ac:dyDescent="0.25">
      <c r="B30" s="72" t="s">
        <v>537</v>
      </c>
      <c r="E30" s="72" t="s">
        <v>33</v>
      </c>
      <c r="H30" s="72" t="s">
        <v>53</v>
      </c>
    </row>
    <row r="31" spans="1:8" x14ac:dyDescent="0.25">
      <c r="B31" s="72" t="s">
        <v>710</v>
      </c>
    </row>
    <row r="32" spans="1:8" x14ac:dyDescent="0.25">
      <c r="B32" s="72" t="s">
        <v>1014</v>
      </c>
      <c r="E32" s="72" t="s">
        <v>32</v>
      </c>
      <c r="H32" s="72" t="s">
        <v>54</v>
      </c>
    </row>
    <row r="33" spans="1:17" x14ac:dyDescent="0.25">
      <c r="B33" s="72" t="s">
        <v>1016</v>
      </c>
      <c r="C33" s="72" t="s">
        <v>52</v>
      </c>
      <c r="D33" s="72" t="s">
        <v>52</v>
      </c>
    </row>
    <row r="34" spans="1:17" x14ac:dyDescent="0.25">
      <c r="B34" s="72" t="s">
        <v>1018</v>
      </c>
      <c r="C34" s="72" t="s">
        <v>79</v>
      </c>
      <c r="D34" s="72" t="s">
        <v>28</v>
      </c>
      <c r="E34" s="72" t="s">
        <v>26</v>
      </c>
      <c r="F34" s="72" t="s">
        <v>29</v>
      </c>
      <c r="G34" s="72" t="s">
        <v>57</v>
      </c>
      <c r="H34" s="72" t="s">
        <v>27</v>
      </c>
      <c r="I34" s="72" t="s">
        <v>25</v>
      </c>
      <c r="J34" s="72" t="s">
        <v>10</v>
      </c>
      <c r="K34" s="72" t="s">
        <v>24</v>
      </c>
      <c r="M34" s="72" t="s">
        <v>31</v>
      </c>
      <c r="N34" s="72" t="s">
        <v>21</v>
      </c>
      <c r="O34" s="72" t="s">
        <v>22</v>
      </c>
      <c r="P34" s="72" t="s">
        <v>23</v>
      </c>
    </row>
    <row r="35" spans="1:17" ht="105" x14ac:dyDescent="0.25">
      <c r="B35" s="72" t="s">
        <v>306</v>
      </c>
      <c r="C35" s="72" t="s">
        <v>1598</v>
      </c>
      <c r="D35" s="72" t="s">
        <v>322</v>
      </c>
      <c r="E35" s="72" t="s">
        <v>330</v>
      </c>
      <c r="F35" s="72" t="s">
        <v>338</v>
      </c>
      <c r="G35" s="73" t="s">
        <v>307</v>
      </c>
      <c r="H35" s="72" t="s">
        <v>346</v>
      </c>
      <c r="I35" s="72" t="s">
        <v>354</v>
      </c>
      <c r="J35" s="72" t="s">
        <v>362</v>
      </c>
      <c r="N35" s="72" t="s">
        <v>308</v>
      </c>
      <c r="O35" s="72" t="s">
        <v>370</v>
      </c>
      <c r="P35" s="72" t="s">
        <v>378</v>
      </c>
      <c r="Q35" s="73" t="s">
        <v>56</v>
      </c>
    </row>
    <row r="36" spans="1:17" ht="105" x14ac:dyDescent="0.25">
      <c r="A36" s="72" t="s">
        <v>174</v>
      </c>
      <c r="B36" s="72" t="s">
        <v>309</v>
      </c>
      <c r="C36" s="72" t="s">
        <v>1599</v>
      </c>
      <c r="D36" s="72" t="s">
        <v>323</v>
      </c>
      <c r="E36" s="72" t="s">
        <v>331</v>
      </c>
      <c r="F36" s="72" t="s">
        <v>339</v>
      </c>
      <c r="G36" s="73" t="s">
        <v>310</v>
      </c>
      <c r="H36" s="72" t="s">
        <v>347</v>
      </c>
      <c r="I36" s="72" t="s">
        <v>355</v>
      </c>
      <c r="J36" s="72" t="s">
        <v>363</v>
      </c>
      <c r="N36" s="72" t="s">
        <v>311</v>
      </c>
      <c r="O36" s="72" t="s">
        <v>371</v>
      </c>
      <c r="P36" s="72" t="s">
        <v>379</v>
      </c>
      <c r="Q36" s="73" t="s">
        <v>56</v>
      </c>
    </row>
    <row r="37" spans="1:17" ht="105" x14ac:dyDescent="0.25">
      <c r="A37" s="72" t="s">
        <v>174</v>
      </c>
      <c r="B37" s="72" t="s">
        <v>312</v>
      </c>
      <c r="C37" s="72" t="s">
        <v>1600</v>
      </c>
      <c r="D37" s="72" t="s">
        <v>324</v>
      </c>
      <c r="E37" s="72" t="s">
        <v>332</v>
      </c>
      <c r="F37" s="72" t="s">
        <v>340</v>
      </c>
      <c r="G37" s="73" t="s">
        <v>313</v>
      </c>
      <c r="H37" s="72" t="s">
        <v>348</v>
      </c>
      <c r="I37" s="72" t="s">
        <v>356</v>
      </c>
      <c r="J37" s="72" t="s">
        <v>364</v>
      </c>
      <c r="N37" s="72" t="s">
        <v>314</v>
      </c>
      <c r="O37" s="72" t="s">
        <v>372</v>
      </c>
      <c r="P37" s="72" t="s">
        <v>380</v>
      </c>
      <c r="Q37" s="73" t="s">
        <v>56</v>
      </c>
    </row>
    <row r="38" spans="1:17" ht="105" x14ac:dyDescent="0.25">
      <c r="A38" s="72" t="s">
        <v>174</v>
      </c>
      <c r="B38" s="72" t="s">
        <v>315</v>
      </c>
      <c r="C38" s="72" t="s">
        <v>1601</v>
      </c>
      <c r="D38" s="72" t="s">
        <v>325</v>
      </c>
      <c r="E38" s="72" t="s">
        <v>333</v>
      </c>
      <c r="F38" s="72" t="s">
        <v>341</v>
      </c>
      <c r="G38" s="73" t="s">
        <v>316</v>
      </c>
      <c r="H38" s="72" t="s">
        <v>349</v>
      </c>
      <c r="I38" s="72" t="s">
        <v>357</v>
      </c>
      <c r="J38" s="72" t="s">
        <v>365</v>
      </c>
      <c r="N38" s="72" t="s">
        <v>317</v>
      </c>
      <c r="O38" s="72" t="s">
        <v>373</v>
      </c>
      <c r="P38" s="72" t="s">
        <v>381</v>
      </c>
      <c r="Q38" s="73" t="s">
        <v>56</v>
      </c>
    </row>
    <row r="39" spans="1:17" ht="105" x14ac:dyDescent="0.25">
      <c r="A39" s="72" t="s">
        <v>174</v>
      </c>
      <c r="B39" s="72" t="s">
        <v>538</v>
      </c>
      <c r="C39" s="72" t="s">
        <v>1602</v>
      </c>
      <c r="D39" s="72" t="s">
        <v>579</v>
      </c>
      <c r="E39" s="72" t="s">
        <v>590</v>
      </c>
      <c r="F39" s="72" t="s">
        <v>601</v>
      </c>
      <c r="G39" s="73" t="s">
        <v>539</v>
      </c>
      <c r="H39" s="72" t="s">
        <v>612</v>
      </c>
      <c r="I39" s="72" t="s">
        <v>623</v>
      </c>
      <c r="J39" s="72" t="s">
        <v>634</v>
      </c>
      <c r="N39" s="72" t="s">
        <v>540</v>
      </c>
      <c r="O39" s="72" t="s">
        <v>645</v>
      </c>
      <c r="P39" s="72" t="s">
        <v>656</v>
      </c>
      <c r="Q39" s="73" t="s">
        <v>56</v>
      </c>
    </row>
    <row r="40" spans="1:17" ht="105" x14ac:dyDescent="0.25">
      <c r="A40" s="72" t="s">
        <v>174</v>
      </c>
      <c r="B40" s="72" t="s">
        <v>541</v>
      </c>
      <c r="C40" s="72" t="s">
        <v>1603</v>
      </c>
      <c r="D40" s="72" t="s">
        <v>580</v>
      </c>
      <c r="E40" s="72" t="s">
        <v>591</v>
      </c>
      <c r="F40" s="72" t="s">
        <v>602</v>
      </c>
      <c r="G40" s="73" t="s">
        <v>542</v>
      </c>
      <c r="H40" s="72" t="s">
        <v>613</v>
      </c>
      <c r="I40" s="72" t="s">
        <v>624</v>
      </c>
      <c r="J40" s="72" t="s">
        <v>635</v>
      </c>
      <c r="N40" s="72" t="s">
        <v>543</v>
      </c>
      <c r="O40" s="72" t="s">
        <v>646</v>
      </c>
      <c r="P40" s="72" t="s">
        <v>657</v>
      </c>
      <c r="Q40" s="73" t="s">
        <v>56</v>
      </c>
    </row>
    <row r="41" spans="1:17" x14ac:dyDescent="0.25">
      <c r="B41" s="72" t="s">
        <v>1018</v>
      </c>
    </row>
    <row r="42" spans="1:17" x14ac:dyDescent="0.25">
      <c r="B42" s="72" t="s">
        <v>1578</v>
      </c>
      <c r="D42" s="72" t="s">
        <v>166</v>
      </c>
    </row>
    <row r="44" spans="1:17" x14ac:dyDescent="0.25">
      <c r="A44" s="72" t="s">
        <v>30</v>
      </c>
      <c r="D44" s="72" t="s">
        <v>167</v>
      </c>
    </row>
    <row r="45" spans="1:17" x14ac:dyDescent="0.25">
      <c r="A45" s="72" t="s">
        <v>30</v>
      </c>
      <c r="D45" s="72" t="s">
        <v>12</v>
      </c>
      <c r="F45" s="72" t="s">
        <v>168</v>
      </c>
    </row>
    <row r="46" spans="1:17" x14ac:dyDescent="0.25">
      <c r="A46" s="72" t="s">
        <v>30</v>
      </c>
      <c r="D46" s="72" t="s">
        <v>5</v>
      </c>
      <c r="F46" s="72" t="s">
        <v>169</v>
      </c>
    </row>
    <row r="47" spans="1:17" x14ac:dyDescent="0.25">
      <c r="A47" s="72" t="s">
        <v>19</v>
      </c>
      <c r="D47" s="72" t="s">
        <v>49</v>
      </c>
    </row>
    <row r="48" spans="1:17" x14ac:dyDescent="0.25">
      <c r="A48" s="72" t="s">
        <v>19</v>
      </c>
      <c r="F48" s="72" t="s">
        <v>170</v>
      </c>
    </row>
    <row r="49" spans="1:6" x14ac:dyDescent="0.25">
      <c r="A49" s="72" t="s">
        <v>184</v>
      </c>
      <c r="F49" s="72" t="s">
        <v>1022</v>
      </c>
    </row>
    <row r="50" spans="1:6" x14ac:dyDescent="0.25">
      <c r="A50" s="72" t="s">
        <v>184</v>
      </c>
      <c r="F50" s="72" t="s">
        <v>1023</v>
      </c>
    </row>
    <row r="51" spans="1:6" x14ac:dyDescent="0.25">
      <c r="A51" s="72" t="s">
        <v>184</v>
      </c>
      <c r="F51" s="72" t="s">
        <v>1024</v>
      </c>
    </row>
    <row r="52" spans="1:6" x14ac:dyDescent="0.25">
      <c r="A52" s="72" t="s">
        <v>184</v>
      </c>
      <c r="F52" s="72" t="s">
        <v>1025</v>
      </c>
    </row>
    <row r="53" spans="1:6" x14ac:dyDescent="0.25">
      <c r="A53" s="72" t="s">
        <v>184</v>
      </c>
      <c r="F53" s="72" t="s">
        <v>1026</v>
      </c>
    </row>
    <row r="54" spans="1:6" x14ac:dyDescent="0.25">
      <c r="A54" s="72" t="s">
        <v>184</v>
      </c>
      <c r="F54" s="72" t="s">
        <v>1027</v>
      </c>
    </row>
    <row r="55" spans="1:6" x14ac:dyDescent="0.25">
      <c r="A55" s="72" t="s">
        <v>19</v>
      </c>
    </row>
    <row r="56" spans="1:6" x14ac:dyDescent="0.25">
      <c r="A56" s="72" t="s">
        <v>30</v>
      </c>
      <c r="D56" s="72" t="s">
        <v>50</v>
      </c>
      <c r="F56" s="72" t="s">
        <v>171</v>
      </c>
    </row>
    <row r="57" spans="1:6" x14ac:dyDescent="0.25">
      <c r="A57" s="72" t="s">
        <v>30</v>
      </c>
      <c r="D57" s="72" t="s">
        <v>32</v>
      </c>
    </row>
    <row r="58" spans="1:6" x14ac:dyDescent="0.25">
      <c r="A58" s="72" t="s">
        <v>30</v>
      </c>
      <c r="D58" s="72" t="s">
        <v>51</v>
      </c>
    </row>
    <row r="59" spans="1:6" x14ac:dyDescent="0.25">
      <c r="A59" s="72" t="s">
        <v>30</v>
      </c>
      <c r="D59" s="72" t="s">
        <v>172</v>
      </c>
    </row>
    <row r="60" spans="1:6" x14ac:dyDescent="0.25">
      <c r="A60" s="72" t="s">
        <v>30</v>
      </c>
      <c r="D60" s="72" t="s">
        <v>55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/>
  </sheetViews>
  <sheetFormatPr defaultRowHeight="15" x14ac:dyDescent="0.25"/>
  <sheetData>
    <row r="1" spans="1:26" x14ac:dyDescent="0.25">
      <c r="A1" s="72" t="s">
        <v>1606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847</v>
      </c>
      <c r="E4" s="72" t="s">
        <v>37</v>
      </c>
      <c r="F4" s="72" t="s">
        <v>116</v>
      </c>
      <c r="K4" s="72" t="s">
        <v>42</v>
      </c>
      <c r="M4" s="72" t="s">
        <v>976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977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978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1034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79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1035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1036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1037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207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19</v>
      </c>
    </row>
    <row r="38" spans="1:6" x14ac:dyDescent="0.25">
      <c r="A38" s="72" t="s">
        <v>30</v>
      </c>
      <c r="D38" s="72" t="s">
        <v>50</v>
      </c>
      <c r="F38" s="72" t="s">
        <v>171</v>
      </c>
    </row>
    <row r="39" spans="1:6" x14ac:dyDescent="0.25">
      <c r="A39" s="72" t="s">
        <v>30</v>
      </c>
      <c r="D39" s="72" t="s">
        <v>32</v>
      </c>
    </row>
    <row r="40" spans="1:6" x14ac:dyDescent="0.25">
      <c r="A40" s="72" t="s">
        <v>30</v>
      </c>
      <c r="D40" s="72" t="s">
        <v>51</v>
      </c>
    </row>
    <row r="41" spans="1:6" x14ac:dyDescent="0.25">
      <c r="A41" s="72" t="s">
        <v>30</v>
      </c>
      <c r="D41" s="72" t="s">
        <v>172</v>
      </c>
    </row>
    <row r="42" spans="1:6" x14ac:dyDescent="0.25">
      <c r="A42" s="72" t="s">
        <v>30</v>
      </c>
      <c r="D42" s="72" t="s">
        <v>55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/>
  </sheetViews>
  <sheetFormatPr defaultRowHeight="15" x14ac:dyDescent="0.25"/>
  <sheetData>
    <row r="1" spans="1:26" x14ac:dyDescent="0.25">
      <c r="A1" s="72" t="s">
        <v>1608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816</v>
      </c>
      <c r="E4" s="72" t="s">
        <v>37</v>
      </c>
      <c r="F4" s="72" t="s">
        <v>116</v>
      </c>
      <c r="K4" s="72" t="s">
        <v>42</v>
      </c>
      <c r="M4" s="72" t="s">
        <v>1151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1152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1153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1038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79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1039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1040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1041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1042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1043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1044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ht="105" x14ac:dyDescent="0.25">
      <c r="A32" s="72" t="s">
        <v>174</v>
      </c>
      <c r="B32" s="72" t="s">
        <v>297</v>
      </c>
      <c r="C32" s="72" t="s">
        <v>1045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6" x14ac:dyDescent="0.25">
      <c r="B33" s="72" t="s">
        <v>207</v>
      </c>
    </row>
    <row r="34" spans="1:6" x14ac:dyDescent="0.25">
      <c r="B34" s="72" t="s">
        <v>679</v>
      </c>
      <c r="D34" s="72" t="s">
        <v>166</v>
      </c>
    </row>
    <row r="36" spans="1:6" x14ac:dyDescent="0.25">
      <c r="A36" s="72" t="s">
        <v>30</v>
      </c>
      <c r="D36" s="72" t="s">
        <v>167</v>
      </c>
    </row>
    <row r="37" spans="1:6" x14ac:dyDescent="0.25">
      <c r="A37" s="72" t="s">
        <v>30</v>
      </c>
      <c r="D37" s="72" t="s">
        <v>12</v>
      </c>
      <c r="F37" s="72" t="s">
        <v>168</v>
      </c>
    </row>
    <row r="38" spans="1:6" x14ac:dyDescent="0.25">
      <c r="A38" s="72" t="s">
        <v>30</v>
      </c>
      <c r="D38" s="72" t="s">
        <v>5</v>
      </c>
      <c r="F38" s="72" t="s">
        <v>169</v>
      </c>
    </row>
    <row r="39" spans="1:6" x14ac:dyDescent="0.25">
      <c r="A39" s="72" t="s">
        <v>19</v>
      </c>
      <c r="D39" s="72" t="s">
        <v>49</v>
      </c>
    </row>
    <row r="40" spans="1:6" x14ac:dyDescent="0.25">
      <c r="A40" s="72" t="s">
        <v>19</v>
      </c>
      <c r="F40" s="72" t="s">
        <v>170</v>
      </c>
    </row>
    <row r="41" spans="1:6" x14ac:dyDescent="0.25">
      <c r="A41" s="72" t="s">
        <v>19</v>
      </c>
    </row>
    <row r="42" spans="1:6" x14ac:dyDescent="0.25">
      <c r="A42" s="72" t="s">
        <v>30</v>
      </c>
      <c r="D42" s="72" t="s">
        <v>50</v>
      </c>
      <c r="F42" s="72" t="s">
        <v>171</v>
      </c>
    </row>
    <row r="43" spans="1:6" x14ac:dyDescent="0.25">
      <c r="A43" s="72" t="s">
        <v>30</v>
      </c>
      <c r="D43" s="72" t="s">
        <v>32</v>
      </c>
    </row>
    <row r="44" spans="1:6" x14ac:dyDescent="0.25">
      <c r="A44" s="72" t="s">
        <v>30</v>
      </c>
      <c r="D44" s="72" t="s">
        <v>51</v>
      </c>
    </row>
    <row r="45" spans="1:6" x14ac:dyDescent="0.25">
      <c r="A45" s="72" t="s">
        <v>30</v>
      </c>
      <c r="D45" s="72" t="s">
        <v>172</v>
      </c>
    </row>
    <row r="46" spans="1:6" x14ac:dyDescent="0.25">
      <c r="A46" s="72" t="s">
        <v>30</v>
      </c>
      <c r="D46" s="72" t="s">
        <v>55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1610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1046</v>
      </c>
      <c r="E4" s="72" t="s">
        <v>37</v>
      </c>
      <c r="F4" s="72" t="s">
        <v>116</v>
      </c>
      <c r="K4" s="72" t="s">
        <v>42</v>
      </c>
      <c r="M4" s="72" t="s">
        <v>1047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1048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1049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79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ht="105" x14ac:dyDescent="0.25">
      <c r="A25" s="72" t="s">
        <v>174</v>
      </c>
      <c r="B25" s="72" t="s">
        <v>208</v>
      </c>
      <c r="C25" s="72" t="s">
        <v>1050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1051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x14ac:dyDescent="0.25">
      <c r="B27" s="72" t="s">
        <v>152</v>
      </c>
    </row>
    <row r="28" spans="1:17" x14ac:dyDescent="0.25">
      <c r="B28" s="72" t="s">
        <v>385</v>
      </c>
      <c r="D28" s="72" t="s">
        <v>166</v>
      </c>
    </row>
    <row r="30" spans="1:17" x14ac:dyDescent="0.25">
      <c r="A30" s="72" t="s">
        <v>30</v>
      </c>
      <c r="D30" s="72" t="s">
        <v>167</v>
      </c>
    </row>
    <row r="31" spans="1:17" x14ac:dyDescent="0.25">
      <c r="A31" s="72" t="s">
        <v>30</v>
      </c>
      <c r="D31" s="72" t="s">
        <v>12</v>
      </c>
      <c r="F31" s="72" t="s">
        <v>168</v>
      </c>
    </row>
    <row r="32" spans="1:17" x14ac:dyDescent="0.25">
      <c r="A32" s="72" t="s">
        <v>30</v>
      </c>
      <c r="D32" s="72" t="s">
        <v>5</v>
      </c>
      <c r="F32" s="72" t="s">
        <v>169</v>
      </c>
    </row>
    <row r="33" spans="1:6" x14ac:dyDescent="0.25">
      <c r="A33" s="72" t="s">
        <v>19</v>
      </c>
      <c r="D33" s="72" t="s">
        <v>49</v>
      </c>
    </row>
    <row r="34" spans="1:6" x14ac:dyDescent="0.25">
      <c r="A34" s="72" t="s">
        <v>19</v>
      </c>
      <c r="F34" s="72" t="s">
        <v>170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/>
  </sheetViews>
  <sheetFormatPr defaultRowHeight="15" x14ac:dyDescent="0.25"/>
  <sheetData>
    <row r="1" spans="1:26" x14ac:dyDescent="0.25">
      <c r="A1" s="72" t="s">
        <v>1612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833</v>
      </c>
      <c r="E4" s="72" t="s">
        <v>37</v>
      </c>
      <c r="F4" s="72" t="s">
        <v>116</v>
      </c>
      <c r="K4" s="72" t="s">
        <v>42</v>
      </c>
      <c r="M4" s="72" t="s">
        <v>1052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1053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1054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79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ht="105" x14ac:dyDescent="0.25">
      <c r="A25" s="72" t="s">
        <v>174</v>
      </c>
      <c r="B25" s="72" t="s">
        <v>208</v>
      </c>
      <c r="C25" s="72" t="s">
        <v>1055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1056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1057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1058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1059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1060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1061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ht="105" x14ac:dyDescent="0.25">
      <c r="A32" s="72" t="s">
        <v>174</v>
      </c>
      <c r="B32" s="72" t="s">
        <v>297</v>
      </c>
      <c r="C32" s="72" t="s">
        <v>1062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6" x14ac:dyDescent="0.25">
      <c r="B33" s="72" t="s">
        <v>152</v>
      </c>
    </row>
    <row r="34" spans="1:6" x14ac:dyDescent="0.25">
      <c r="B34" s="72" t="s">
        <v>679</v>
      </c>
      <c r="D34" s="72" t="s">
        <v>166</v>
      </c>
    </row>
    <row r="36" spans="1:6" x14ac:dyDescent="0.25">
      <c r="A36" s="72" t="s">
        <v>30</v>
      </c>
      <c r="D36" s="72" t="s">
        <v>167</v>
      </c>
    </row>
    <row r="37" spans="1:6" x14ac:dyDescent="0.25">
      <c r="A37" s="72" t="s">
        <v>30</v>
      </c>
      <c r="D37" s="72" t="s">
        <v>12</v>
      </c>
      <c r="F37" s="72" t="s">
        <v>168</v>
      </c>
    </row>
    <row r="38" spans="1:6" x14ac:dyDescent="0.25">
      <c r="A38" s="72" t="s">
        <v>30</v>
      </c>
      <c r="D38" s="72" t="s">
        <v>5</v>
      </c>
      <c r="F38" s="72" t="s">
        <v>169</v>
      </c>
    </row>
    <row r="39" spans="1:6" x14ac:dyDescent="0.25">
      <c r="A39" s="72" t="s">
        <v>19</v>
      </c>
      <c r="D39" s="72" t="s">
        <v>49</v>
      </c>
    </row>
    <row r="40" spans="1:6" x14ac:dyDescent="0.25">
      <c r="A40" s="72" t="s">
        <v>19</v>
      </c>
      <c r="F40" s="72" t="s">
        <v>170</v>
      </c>
    </row>
    <row r="41" spans="1:6" x14ac:dyDescent="0.25">
      <c r="A41" s="72" t="s">
        <v>19</v>
      </c>
    </row>
    <row r="42" spans="1:6" x14ac:dyDescent="0.25">
      <c r="A42" s="72" t="s">
        <v>30</v>
      </c>
      <c r="D42" s="72" t="s">
        <v>50</v>
      </c>
      <c r="F42" s="72" t="s">
        <v>171</v>
      </c>
    </row>
    <row r="43" spans="1:6" x14ac:dyDescent="0.25">
      <c r="A43" s="72" t="s">
        <v>30</v>
      </c>
      <c r="D43" s="72" t="s">
        <v>32</v>
      </c>
    </row>
    <row r="44" spans="1:6" x14ac:dyDescent="0.25">
      <c r="A44" s="72" t="s">
        <v>30</v>
      </c>
      <c r="D44" s="72" t="s">
        <v>51</v>
      </c>
    </row>
    <row r="45" spans="1:6" x14ac:dyDescent="0.25">
      <c r="A45" s="72" t="s">
        <v>30</v>
      </c>
      <c r="D45" s="72" t="s">
        <v>172</v>
      </c>
    </row>
    <row r="46" spans="1:6" x14ac:dyDescent="0.25">
      <c r="A46" s="72" t="s">
        <v>30</v>
      </c>
      <c r="D46" s="72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7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1584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/>
      </c>
      <c r="C2" s="74" t="s">
        <v>7</v>
      </c>
      <c r="D2" s="181" t="str">
        <f>IF(E28="",F5&amp;"  ("&amp;F4&amp;") - NO "&amp;C27,F5&amp;"  ("&amp;F4&amp;") - "&amp;C27&amp;" PICK LIST")</f>
        <v>GOLDEN GATE BAPTIST CHURCH  (003405P)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"003405P"</f>
        <v>003405P</v>
      </c>
      <c r="E4" s="101" t="s">
        <v>37</v>
      </c>
      <c r="F4" s="105" t="str">
        <f>C4</f>
        <v>003405P</v>
      </c>
      <c r="K4" s="101" t="s">
        <v>42</v>
      </c>
      <c r="L4" s="104"/>
      <c r="M4" s="111">
        <f>SUM(I28:I33)</f>
        <v>22</v>
      </c>
    </row>
    <row r="5" spans="1:26" ht="18" customHeight="1" x14ac:dyDescent="0.25">
      <c r="B5" s="76" t="str">
        <f t="shared" si="0"/>
        <v>Show</v>
      </c>
      <c r="C5" s="109" t="s">
        <v>1312</v>
      </c>
      <c r="E5" s="101" t="s">
        <v>36</v>
      </c>
      <c r="F5" s="112" t="s">
        <v>1191</v>
      </c>
      <c r="K5" s="101" t="s">
        <v>43</v>
      </c>
      <c r="L5" s="104"/>
      <c r="M5" s="111">
        <f>ROUND(SUM(O28:O33),0)</f>
        <v>428</v>
      </c>
    </row>
    <row r="6" spans="1:26" ht="18" customHeight="1" x14ac:dyDescent="0.25">
      <c r="B6" s="76" t="str">
        <f t="shared" si="0"/>
        <v>Show</v>
      </c>
      <c r="C6" s="109" t="s">
        <v>1313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ROUND(COUNT(O28:O33),0)</f>
        <v>5</v>
      </c>
      <c r="P6" s="101"/>
      <c r="W6" s="101" t="str">
        <f>"ESTIMATED "&amp;O27&amp;"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E18</f>
        <v>A108357|A108357|A108357|A108358|A108358|A108357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F18</f>
        <v>ITPN-207481|ITPN-207482|ITPN-207483|ITPN-207484|ITPN-207485|ITPN-207481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B17</f>
        <v>Show</v>
      </c>
      <c r="C12" s="74" t="s">
        <v>1798</v>
      </c>
      <c r="E12" s="74" t="str">
        <f>"A108357"</f>
        <v>A108357</v>
      </c>
      <c r="F12" s="74" t="str">
        <f>"ITPN-207481"</f>
        <v>ITPN-207481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6" si="1">B18</f>
        <v>Show</v>
      </c>
      <c r="C13" s="74" t="str">
        <f>"""Ceres NTFB Live"",""NTFB Live"",""5766"",""1"",""Invt. Pick"",""2"",""ITPN-207482"""</f>
        <v>"Ceres NTFB Live","NTFB Live","5766","1","Invt. Pick","2","ITPN-207482"</v>
      </c>
      <c r="E13" s="74" t="str">
        <f>"A108357"</f>
        <v>A108357</v>
      </c>
      <c r="F13" s="74" t="str">
        <f>"ITPN-207482"</f>
        <v>ITPN-207482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Pick"",""2"",""ITPN-207483"""</f>
        <v>"Ceres NTFB Live","NTFB Live","5766","1","Invt. Pick","2","ITPN-207483"</v>
      </c>
      <c r="E14" s="74" t="str">
        <f>"A108357"</f>
        <v>A108357</v>
      </c>
      <c r="F14" s="74" t="str">
        <f>"ITPN-207483"</f>
        <v>ITPN-207483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173</v>
      </c>
      <c r="B15" s="76" t="str">
        <f t="shared" si="1"/>
        <v>Show</v>
      </c>
      <c r="C15" s="74" t="str">
        <f>"""Ceres NTFB Live"",""NTFB Live"",""5766"",""1"",""Invt. Pick"",""2"",""ITPN-207484"""</f>
        <v>"Ceres NTFB Live","NTFB Live","5766","1","Invt. Pick","2","ITPN-207484"</v>
      </c>
      <c r="E15" s="74" t="str">
        <f>"A108358"</f>
        <v>A108358</v>
      </c>
      <c r="F15" s="74" t="str">
        <f>"ITPN-207484"</f>
        <v>ITPN-207484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173</v>
      </c>
      <c r="B16" s="76" t="str">
        <f t="shared" si="1"/>
        <v>Show</v>
      </c>
      <c r="C16" s="74" t="str">
        <f>"""Ceres NTFB Live"",""NTFB Live"",""5766"",""1"",""Invt. Pick"",""2"",""ITPN-207485"""</f>
        <v>"Ceres NTFB Live","NTFB Live","5766","1","Invt. Pick","2","ITPN-207485"</v>
      </c>
      <c r="E16" s="74" t="str">
        <f>"A108358"</f>
        <v>A108358</v>
      </c>
      <c r="F16" s="74" t="str">
        <f>"ITPN-207485"</f>
        <v>ITPN-207485</v>
      </c>
      <c r="I16" s="98"/>
      <c r="J16" s="98"/>
      <c r="K16" s="98"/>
      <c r="L16" s="98"/>
      <c r="M16" s="98"/>
    </row>
    <row r="17" spans="1:17" ht="15.75" hidden="1" thickBot="1" x14ac:dyDescent="0.3">
      <c r="A17" s="74" t="s">
        <v>6</v>
      </c>
      <c r="B17" s="76" t="str">
        <f t="shared" ref="B17:B27" si="2">B18</f>
        <v>Show</v>
      </c>
      <c r="C17" s="74" t="s">
        <v>1311</v>
      </c>
      <c r="E17" s="74" t="str">
        <f>E12</f>
        <v>A108357</v>
      </c>
      <c r="F17" s="74" t="str">
        <f>F12</f>
        <v>ITPN-207481</v>
      </c>
      <c r="I17" s="98"/>
      <c r="J17" s="98"/>
      <c r="K17" s="98"/>
      <c r="L17" s="98"/>
      <c r="M17" s="98"/>
    </row>
    <row r="18" spans="1:17" ht="15.75" hidden="1" thickBot="1" x14ac:dyDescent="0.3">
      <c r="A18" s="74" t="s">
        <v>6</v>
      </c>
      <c r="B18" s="76" t="str">
        <f t="shared" si="2"/>
        <v>Show</v>
      </c>
      <c r="E18" s="92" t="s">
        <v>1797</v>
      </c>
      <c r="F18" s="92" t="s">
        <v>1796</v>
      </c>
      <c r="I18" s="98"/>
      <c r="J18" s="98"/>
      <c r="K18" s="98"/>
      <c r="L18" s="98"/>
      <c r="M18" s="98"/>
    </row>
    <row r="19" spans="1:17" x14ac:dyDescent="0.25">
      <c r="B19" s="76" t="str">
        <f t="shared" si="2"/>
        <v>Show</v>
      </c>
      <c r="E19" s="101" t="s">
        <v>20</v>
      </c>
      <c r="F19" s="184" t="s">
        <v>179</v>
      </c>
      <c r="G19" s="185"/>
      <c r="H19" s="185"/>
      <c r="I19" s="185"/>
      <c r="J19" s="185"/>
      <c r="K19" s="185"/>
      <c r="L19" s="185"/>
      <c r="M19" s="186"/>
    </row>
    <row r="20" spans="1:17" x14ac:dyDescent="0.25">
      <c r="B20" s="76" t="str">
        <f t="shared" si="2"/>
        <v>Show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thickBot="1" x14ac:dyDescent="0.3">
      <c r="B21" s="76" t="str">
        <f t="shared" si="2"/>
        <v>Show</v>
      </c>
      <c r="F21" s="190"/>
      <c r="G21" s="191"/>
      <c r="H21" s="191"/>
      <c r="I21" s="191"/>
      <c r="J21" s="191"/>
      <c r="K21" s="191"/>
      <c r="L21" s="191"/>
      <c r="M21" s="192"/>
    </row>
    <row r="22" spans="1:17" x14ac:dyDescent="0.25">
      <c r="B22" s="76" t="str">
        <f t="shared" si="2"/>
        <v>Show</v>
      </c>
    </row>
    <row r="23" spans="1:17" x14ac:dyDescent="0.25">
      <c r="B23" s="76" t="str">
        <f t="shared" si="2"/>
        <v>Show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x14ac:dyDescent="0.25">
      <c r="B24" s="76" t="str">
        <f t="shared" si="2"/>
        <v>Show</v>
      </c>
      <c r="E24" s="101"/>
    </row>
    <row r="25" spans="1:17" x14ac:dyDescent="0.25">
      <c r="B25" s="76" t="str">
        <f t="shared" si="2"/>
        <v>Show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x14ac:dyDescent="0.25">
      <c r="B26" s="76" t="str">
        <f t="shared" si="2"/>
        <v>Show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customHeight="1" x14ac:dyDescent="0.25">
      <c r="A27" s="97"/>
      <c r="B27" s="76" t="str">
        <f t="shared" si="2"/>
        <v>Show</v>
      </c>
      <c r="C27" s="96" t="s">
        <v>79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customHeight="1" x14ac:dyDescent="0.25">
      <c r="B28" s="92" t="str">
        <f>IF(I28="","Hide","Show")</f>
        <v>Show</v>
      </c>
      <c r="C28" s="74" t="s">
        <v>1318</v>
      </c>
      <c r="D28" s="89" t="str">
        <f>"02-11-01"</f>
        <v>02-11-01</v>
      </c>
      <c r="E28" s="89" t="str">
        <f>"P00188061"</f>
        <v>P00188061</v>
      </c>
      <c r="F28" s="89" t="str">
        <f>"1000001158"</f>
        <v>1000001158</v>
      </c>
      <c r="G28" s="91" t="s">
        <v>1314</v>
      </c>
      <c r="H28" s="90" t="str">
        <f>"WATER, ASSORTED"</f>
        <v>WATER, ASSORTED</v>
      </c>
      <c r="I28" s="89">
        <v>6</v>
      </c>
      <c r="J28" s="89" t="str">
        <f>"CS"</f>
        <v>CS</v>
      </c>
      <c r="K28" s="88"/>
      <c r="L28" s="87"/>
      <c r="M28" s="87"/>
      <c r="N28" s="85" t="s">
        <v>179</v>
      </c>
      <c r="O28" s="85">
        <v>150</v>
      </c>
      <c r="P28" s="85" t="str">
        <f>"DRY"</f>
        <v>DRY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ref="B29:B32" si="3">IF(I29="","Hide","Show")</f>
        <v>Show</v>
      </c>
      <c r="C29" s="74" t="str">
        <f>"""Ceres NTFB Live"",""NTFB Live"",""5767"",""1"",""Invt. Pick"",""2"",""ITPN-207482"",""3"",""31000"""</f>
        <v>"Ceres NTFB Live","NTFB Live","5767","1","Invt. Pick","2","ITPN-207482","3","31000"</v>
      </c>
      <c r="D29" s="89" t="str">
        <f>"06-25-01"</f>
        <v>06-25-01</v>
      </c>
      <c r="E29" s="89" t="str">
        <f>"P00194650"</f>
        <v>P00194650</v>
      </c>
      <c r="F29" s="89" t="str">
        <f>"1000000429"</f>
        <v>1000000429</v>
      </c>
      <c r="G29" s="91" t="s">
        <v>1315</v>
      </c>
      <c r="H29" s="90" t="str">
        <f>"USDA CEREAL, CORNFLAKES (449)"</f>
        <v>USDA CEREAL, CORNFLAKES (449)</v>
      </c>
      <c r="I29" s="89">
        <v>5</v>
      </c>
      <c r="J29" s="89" t="str">
        <f>"CS"</f>
        <v>CS</v>
      </c>
      <c r="K29" s="88"/>
      <c r="L29" s="87"/>
      <c r="M29" s="87"/>
      <c r="N29" s="85" t="s">
        <v>179</v>
      </c>
      <c r="O29" s="85">
        <v>75</v>
      </c>
      <c r="P29" s="85" t="str">
        <f>"DRY"</f>
        <v>DRY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3"/>
        <v>Show</v>
      </c>
      <c r="C30" s="74" t="str">
        <f>"""Ceres NTFB Live"",""NTFB Live"",""5767"",""1"",""Invt. Pick"",""2"",""ITPN-207482"",""3"",""41000"""</f>
        <v>"Ceres NTFB Live","NTFB Live","5767","1","Invt. Pick","2","ITPN-207482","3","41000"</v>
      </c>
      <c r="D30" s="89" t="str">
        <f>"06-36-01"</f>
        <v>06-36-01</v>
      </c>
      <c r="E30" s="89" t="str">
        <f>"P00194647"</f>
        <v>P00194647</v>
      </c>
      <c r="F30" s="89" t="str">
        <f>"1000000429"</f>
        <v>1000000429</v>
      </c>
      <c r="G30" s="91" t="s">
        <v>1315</v>
      </c>
      <c r="H30" s="90" t="str">
        <f>"USDA CEREAL, CORNFLAKES (449)"</f>
        <v>USDA CEREAL, CORNFLAKES (449)</v>
      </c>
      <c r="I30" s="89">
        <v>1</v>
      </c>
      <c r="J30" s="89" t="str">
        <f>"CS"</f>
        <v>CS</v>
      </c>
      <c r="K30" s="88"/>
      <c r="L30" s="87"/>
      <c r="M30" s="87"/>
      <c r="N30" s="85" t="s">
        <v>179</v>
      </c>
      <c r="O30" s="85">
        <v>15</v>
      </c>
      <c r="P30" s="85" t="str">
        <f>"DRY"</f>
        <v>DRY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si="3"/>
        <v>Show</v>
      </c>
      <c r="C31" s="74" t="str">
        <f>"""Ceres NTFB Live"",""NTFB Live"",""5767"",""1"",""Invt. Pick"",""2"",""ITPN-207484"",""3"",""20000"""</f>
        <v>"Ceres NTFB Live","NTFB Live","5767","1","Invt. Pick","2","ITPN-207484","3","20000"</v>
      </c>
      <c r="D31" s="89" t="str">
        <f>"33-10-01"</f>
        <v>33-10-01</v>
      </c>
      <c r="E31" s="89" t="str">
        <f>"P00195179"</f>
        <v>P00195179</v>
      </c>
      <c r="F31" s="89" t="str">
        <f>"1000000135"</f>
        <v>1000000135</v>
      </c>
      <c r="G31" s="91" t="s">
        <v>1316</v>
      </c>
      <c r="H31" s="90" t="str">
        <f>"USDA SWEET PEAS, CANNED"</f>
        <v>USDA SWEET PEAS, CANNED</v>
      </c>
      <c r="I31" s="89">
        <v>4</v>
      </c>
      <c r="J31" s="89" t="str">
        <f>"CS"</f>
        <v>CS</v>
      </c>
      <c r="K31" s="88"/>
      <c r="L31" s="87"/>
      <c r="M31" s="87"/>
      <c r="N31" s="85" t="s">
        <v>179</v>
      </c>
      <c r="O31" s="85">
        <v>104</v>
      </c>
      <c r="P31" s="85" t="str">
        <f>"DRYUSDA"</f>
        <v>DRYUSDA</v>
      </c>
      <c r="Q31" s="86" t="s">
        <v>56</v>
      </c>
    </row>
    <row r="32" spans="1:17" ht="24.95" customHeight="1" x14ac:dyDescent="0.25">
      <c r="A32" s="74" t="s">
        <v>174</v>
      </c>
      <c r="B32" s="92" t="str">
        <f t="shared" si="3"/>
        <v>Show</v>
      </c>
      <c r="C32" s="74" t="str">
        <f>"""Ceres NTFB Live"",""NTFB Live"",""5767"",""1"",""Invt. Pick"",""2"",""ITPN-207483"",""3"",""31000"""</f>
        <v>"Ceres NTFB Live","NTFB Live","5767","1","Invt. Pick","2","ITPN-207483","3","31000"</v>
      </c>
      <c r="D32" s="89" t="str">
        <f>"36-11-01"</f>
        <v>36-11-01</v>
      </c>
      <c r="E32" s="89" t="str">
        <f>"P00187275"</f>
        <v>P00187275</v>
      </c>
      <c r="F32" s="89" t="str">
        <f>"1000000217"</f>
        <v>1000000217</v>
      </c>
      <c r="G32" s="91" t="s">
        <v>1317</v>
      </c>
      <c r="H32" s="90" t="str">
        <f>"USDA PEANUT BUTTER (395)"</f>
        <v>USDA PEANUT BUTTER (395)</v>
      </c>
      <c r="I32" s="89">
        <v>6</v>
      </c>
      <c r="J32" s="89" t="str">
        <f>"CS"</f>
        <v>CS</v>
      </c>
      <c r="K32" s="88"/>
      <c r="L32" s="87"/>
      <c r="M32" s="87"/>
      <c r="N32" s="85" t="s">
        <v>179</v>
      </c>
      <c r="O32" s="85">
        <v>84</v>
      </c>
      <c r="P32" s="85" t="str">
        <f>"DRYUSDA"</f>
        <v>DRYUSDA</v>
      </c>
      <c r="Q32" s="86" t="s">
        <v>56</v>
      </c>
    </row>
    <row r="33" spans="1:16" ht="15.75" thickBot="1" x14ac:dyDescent="0.3">
      <c r="B33" s="74" t="str">
        <f>B28</f>
        <v>Show</v>
      </c>
      <c r="H33" s="85"/>
      <c r="I33" s="85"/>
    </row>
    <row r="34" spans="1:16" ht="15.75" thickBot="1" x14ac:dyDescent="0.3">
      <c r="B34" s="74" t="str">
        <f>+B33</f>
        <v>Show</v>
      </c>
      <c r="D34" s="193" t="str">
        <f>+"END OF "&amp;D2</f>
        <v>END OF GOLDEN GATE BAPTIST CHURCH  (003405P) - DRY|DRYUSDA|MCTF PICK LIST</v>
      </c>
      <c r="E34" s="194"/>
      <c r="F34" s="194"/>
      <c r="G34" s="194"/>
      <c r="H34" s="194"/>
      <c r="I34" s="194"/>
      <c r="J34" s="194"/>
      <c r="K34" s="194"/>
      <c r="L34" s="194"/>
      <c r="M34" s="195"/>
    </row>
    <row r="35" spans="1:16" ht="15.75" thickBot="1" x14ac:dyDescent="0.3"/>
    <row r="36" spans="1:16" ht="80.099999999999994" customHeight="1" thickBot="1" x14ac:dyDescent="0.3">
      <c r="A36" s="76" t="s">
        <v>30</v>
      </c>
      <c r="D36" s="166" t="str">
        <f>+F6</f>
        <v>PICKUP</v>
      </c>
      <c r="E36" s="167"/>
      <c r="F36" s="167"/>
      <c r="G36" s="167"/>
      <c r="H36" s="167"/>
      <c r="I36" s="167"/>
      <c r="J36" s="167"/>
      <c r="K36" s="167"/>
      <c r="L36" s="167"/>
      <c r="M36" s="168"/>
    </row>
    <row r="37" spans="1:16" ht="36.75" x14ac:dyDescent="0.45">
      <c r="A37" s="76" t="s">
        <v>30</v>
      </c>
      <c r="D37" s="176" t="s">
        <v>12</v>
      </c>
      <c r="E37" s="177"/>
      <c r="F37" s="196" t="str">
        <f>+F4</f>
        <v>003405P</v>
      </c>
      <c r="G37" s="196"/>
      <c r="H37" s="196"/>
      <c r="I37" s="196"/>
      <c r="J37" s="196"/>
      <c r="K37" s="196"/>
      <c r="L37" s="196"/>
      <c r="M37" s="197"/>
    </row>
    <row r="38" spans="1:16" ht="37.5" customHeight="1" thickBot="1" x14ac:dyDescent="0.5">
      <c r="A38" s="76" t="s">
        <v>30</v>
      </c>
      <c r="D38" s="158" t="s">
        <v>5</v>
      </c>
      <c r="E38" s="159"/>
      <c r="F38" s="161" t="str">
        <f>+F5</f>
        <v>GOLDEN GATE BAPTIST CHURCH</v>
      </c>
      <c r="G38" s="161"/>
      <c r="H38" s="161"/>
      <c r="I38" s="161"/>
      <c r="J38" s="161"/>
      <c r="K38" s="161"/>
      <c r="L38" s="161"/>
      <c r="M38" s="162"/>
      <c r="N38" s="84"/>
      <c r="O38" s="84"/>
      <c r="P38" s="84"/>
    </row>
    <row r="39" spans="1:16" ht="33.75" hidden="1" thickBot="1" x14ac:dyDescent="0.45">
      <c r="A39" s="76" t="s">
        <v>19</v>
      </c>
      <c r="D39" s="172" t="s">
        <v>49</v>
      </c>
      <c r="E39" s="173"/>
      <c r="F39" s="82"/>
      <c r="G39" s="83"/>
      <c r="H39" s="82"/>
      <c r="I39" s="82"/>
      <c r="J39" s="82"/>
      <c r="K39" s="82"/>
      <c r="L39" s="82"/>
      <c r="M39" s="81"/>
    </row>
    <row r="40" spans="1:16" ht="30" hidden="1" customHeight="1" x14ac:dyDescent="0.25">
      <c r="A40" s="76" t="s">
        <v>19</v>
      </c>
      <c r="D40" s="80"/>
      <c r="E40" s="78"/>
      <c r="F40" s="174" t="s">
        <v>1311</v>
      </c>
      <c r="G40" s="174"/>
      <c r="H40" s="174"/>
      <c r="I40" s="174"/>
      <c r="J40" s="174"/>
      <c r="K40" s="174"/>
      <c r="L40" s="174"/>
      <c r="M40" s="175"/>
    </row>
    <row r="41" spans="1:16" ht="30" hidden="1" customHeight="1" x14ac:dyDescent="0.25">
      <c r="A41" s="76" t="s">
        <v>184</v>
      </c>
      <c r="D41" s="80"/>
      <c r="E41" s="78"/>
      <c r="F41" s="174" t="str">
        <f>"A108358"</f>
        <v>A108358</v>
      </c>
      <c r="G41" s="174"/>
      <c r="H41" s="174"/>
      <c r="I41" s="174"/>
      <c r="J41" s="174"/>
      <c r="K41" s="174"/>
      <c r="L41" s="174"/>
      <c r="M41" s="175"/>
    </row>
    <row r="42" spans="1:16" ht="15.75" hidden="1" customHeight="1" thickBot="1" x14ac:dyDescent="0.3">
      <c r="A42" s="76" t="s">
        <v>19</v>
      </c>
      <c r="D42" s="80"/>
      <c r="E42" s="78"/>
      <c r="F42" s="78"/>
      <c r="G42" s="79"/>
      <c r="H42" s="78"/>
      <c r="I42" s="78"/>
      <c r="J42" s="78"/>
      <c r="K42" s="78"/>
      <c r="L42" s="78"/>
      <c r="M42" s="77"/>
    </row>
    <row r="43" spans="1:16" ht="36.75" x14ac:dyDescent="0.45">
      <c r="A43" s="76" t="s">
        <v>30</v>
      </c>
      <c r="D43" s="176" t="s">
        <v>50</v>
      </c>
      <c r="E43" s="177"/>
      <c r="F43" s="178">
        <f>+F7</f>
        <v>42612</v>
      </c>
      <c r="G43" s="179"/>
      <c r="H43" s="179"/>
      <c r="I43" s="179"/>
      <c r="J43" s="179"/>
      <c r="K43" s="179"/>
      <c r="L43" s="179"/>
      <c r="M43" s="180"/>
    </row>
    <row r="44" spans="1:16" ht="37.5" thickBot="1" x14ac:dyDescent="0.5">
      <c r="A44" s="76" t="s">
        <v>30</v>
      </c>
      <c r="D44" s="158" t="s">
        <v>32</v>
      </c>
      <c r="E44" s="159"/>
      <c r="F44" s="160"/>
      <c r="G44" s="161"/>
      <c r="H44" s="161"/>
      <c r="I44" s="161"/>
      <c r="J44" s="161"/>
      <c r="K44" s="161"/>
      <c r="L44" s="161"/>
      <c r="M44" s="162"/>
    </row>
    <row r="45" spans="1:16" ht="80.099999999999994" customHeight="1" thickBot="1" x14ac:dyDescent="0.3">
      <c r="A45" s="76" t="s">
        <v>30</v>
      </c>
      <c r="D45" s="163" t="s">
        <v>51</v>
      </c>
      <c r="E45" s="164"/>
      <c r="F45" s="164"/>
      <c r="G45" s="164"/>
      <c r="H45" s="164"/>
      <c r="I45" s="164"/>
      <c r="J45" s="164"/>
      <c r="K45" s="164"/>
      <c r="L45" s="164"/>
      <c r="M45" s="165"/>
    </row>
    <row r="46" spans="1:16" ht="90" customHeight="1" thickBot="1" x14ac:dyDescent="0.3">
      <c r="A46" s="76" t="s">
        <v>30</v>
      </c>
      <c r="D46" s="166" t="str">
        <f>IF(F6="DELIVER",G6,F6)</f>
        <v>PICKUP</v>
      </c>
      <c r="E46" s="167"/>
      <c r="F46" s="167"/>
      <c r="G46" s="167"/>
      <c r="H46" s="167"/>
      <c r="I46" s="167"/>
      <c r="J46" s="167"/>
      <c r="K46" s="167"/>
      <c r="L46" s="167"/>
      <c r="M46" s="168"/>
    </row>
    <row r="47" spans="1:16" ht="60" customHeight="1" thickBot="1" x14ac:dyDescent="0.3">
      <c r="A47" s="76" t="s">
        <v>30</v>
      </c>
      <c r="D47" s="169" t="s">
        <v>55</v>
      </c>
      <c r="E47" s="170"/>
      <c r="F47" s="170"/>
      <c r="G47" s="170"/>
      <c r="H47" s="170"/>
      <c r="I47" s="170"/>
      <c r="J47" s="170"/>
      <c r="K47" s="170"/>
      <c r="L47" s="170"/>
      <c r="M47" s="171"/>
    </row>
  </sheetData>
  <mergeCells count="18">
    <mergeCell ref="D43:E43"/>
    <mergeCell ref="F43:M43"/>
    <mergeCell ref="D2:M2"/>
    <mergeCell ref="F19:M21"/>
    <mergeCell ref="D34:M34"/>
    <mergeCell ref="D36:M36"/>
    <mergeCell ref="D37:E37"/>
    <mergeCell ref="F37:M37"/>
    <mergeCell ref="F41:M41"/>
    <mergeCell ref="D38:E38"/>
    <mergeCell ref="F38:M38"/>
    <mergeCell ref="D39:E39"/>
    <mergeCell ref="F40:M40"/>
    <mergeCell ref="D44:E44"/>
    <mergeCell ref="F44:M44"/>
    <mergeCell ref="D45:M45"/>
    <mergeCell ref="D46:M46"/>
    <mergeCell ref="D47:M47"/>
  </mergeCells>
  <conditionalFormatting sqref="F6">
    <cfRule type="cellIs" dxfId="434" priority="5" operator="equal">
      <formula>"DELIVER"</formula>
    </cfRule>
  </conditionalFormatting>
  <conditionalFormatting sqref="D36">
    <cfRule type="cellIs" dxfId="433" priority="4" operator="equal">
      <formula>"DELIVER"</formula>
    </cfRule>
  </conditionalFormatting>
  <conditionalFormatting sqref="D2:M2">
    <cfRule type="expression" dxfId="432" priority="3">
      <formula>$F$6="DELIVER"</formula>
    </cfRule>
  </conditionalFormatting>
  <conditionalFormatting sqref="G6">
    <cfRule type="expression" dxfId="431" priority="2">
      <formula>$F$6="DELIVER"</formula>
    </cfRule>
  </conditionalFormatting>
  <conditionalFormatting sqref="D46">
    <cfRule type="expression" dxfId="43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4" max="16383" man="1"/>
  </rowBreaks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/>
  </sheetViews>
  <sheetFormatPr defaultRowHeight="15" x14ac:dyDescent="0.25"/>
  <sheetData>
    <row r="1" spans="1:26" x14ac:dyDescent="0.25">
      <c r="A1" s="72" t="s">
        <v>1614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518</v>
      </c>
      <c r="E4" s="72" t="s">
        <v>37</v>
      </c>
      <c r="F4" s="72" t="s">
        <v>116</v>
      </c>
      <c r="K4" s="72" t="s">
        <v>42</v>
      </c>
      <c r="M4" s="72" t="s">
        <v>1063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1064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1065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1066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1067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79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1068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1069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225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19</v>
      </c>
    </row>
    <row r="38" spans="1:6" x14ac:dyDescent="0.25">
      <c r="A38" s="72" t="s">
        <v>30</v>
      </c>
      <c r="D38" s="72" t="s">
        <v>50</v>
      </c>
      <c r="F38" s="72" t="s">
        <v>171</v>
      </c>
    </row>
    <row r="39" spans="1:6" x14ac:dyDescent="0.25">
      <c r="A39" s="72" t="s">
        <v>30</v>
      </c>
      <c r="D39" s="72" t="s">
        <v>32</v>
      </c>
    </row>
    <row r="40" spans="1:6" x14ac:dyDescent="0.25">
      <c r="A40" s="72" t="s">
        <v>30</v>
      </c>
      <c r="D40" s="72" t="s">
        <v>51</v>
      </c>
    </row>
    <row r="41" spans="1:6" x14ac:dyDescent="0.25">
      <c r="A41" s="72" t="s">
        <v>30</v>
      </c>
      <c r="D41" s="72" t="s">
        <v>172</v>
      </c>
    </row>
    <row r="42" spans="1:6" x14ac:dyDescent="0.25">
      <c r="A42" s="72" t="s">
        <v>30</v>
      </c>
      <c r="D42" s="72" t="s">
        <v>55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/>
  </sheetViews>
  <sheetFormatPr defaultRowHeight="15" x14ac:dyDescent="0.25"/>
  <sheetData>
    <row r="1" spans="1:26" x14ac:dyDescent="0.25">
      <c r="A1" s="72" t="s">
        <v>1616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798</v>
      </c>
      <c r="E4" s="72" t="s">
        <v>37</v>
      </c>
      <c r="F4" s="72" t="s">
        <v>116</v>
      </c>
      <c r="K4" s="72" t="s">
        <v>42</v>
      </c>
      <c r="M4" s="72" t="s">
        <v>1063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1064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1065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1070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1071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79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1072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1073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225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184</v>
      </c>
      <c r="F37" s="72" t="s">
        <v>1074</v>
      </c>
    </row>
    <row r="38" spans="1:6" x14ac:dyDescent="0.25">
      <c r="A38" s="72" t="s">
        <v>19</v>
      </c>
    </row>
    <row r="39" spans="1:6" x14ac:dyDescent="0.25">
      <c r="A39" s="72" t="s">
        <v>30</v>
      </c>
      <c r="D39" s="72" t="s">
        <v>50</v>
      </c>
      <c r="F39" s="72" t="s">
        <v>171</v>
      </c>
    </row>
    <row r="40" spans="1:6" x14ac:dyDescent="0.25">
      <c r="A40" s="72" t="s">
        <v>30</v>
      </c>
      <c r="D40" s="72" t="s">
        <v>32</v>
      </c>
    </row>
    <row r="41" spans="1:6" x14ac:dyDescent="0.25">
      <c r="A41" s="72" t="s">
        <v>30</v>
      </c>
      <c r="D41" s="72" t="s">
        <v>51</v>
      </c>
    </row>
    <row r="42" spans="1:6" x14ac:dyDescent="0.25">
      <c r="A42" s="72" t="s">
        <v>30</v>
      </c>
      <c r="D42" s="72" t="s">
        <v>172</v>
      </c>
    </row>
    <row r="43" spans="1:6" x14ac:dyDescent="0.25">
      <c r="A43" s="72" t="s">
        <v>30</v>
      </c>
      <c r="D43" s="72" t="s">
        <v>55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RowHeight="15" x14ac:dyDescent="0.25"/>
  <sheetData>
    <row r="1" spans="1:26" x14ac:dyDescent="0.25">
      <c r="A1" s="72" t="s">
        <v>1618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835</v>
      </c>
      <c r="E4" s="72" t="s">
        <v>37</v>
      </c>
      <c r="F4" s="72" t="s">
        <v>116</v>
      </c>
      <c r="K4" s="72" t="s">
        <v>42</v>
      </c>
      <c r="M4" s="72" t="s">
        <v>696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697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698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1075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79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1076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1077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x14ac:dyDescent="0.25">
      <c r="B28" s="72" t="s">
        <v>207</v>
      </c>
    </row>
    <row r="29" spans="1:17" x14ac:dyDescent="0.25">
      <c r="B29" s="72" t="s">
        <v>283</v>
      </c>
      <c r="D29" s="72" t="s">
        <v>166</v>
      </c>
    </row>
    <row r="31" spans="1:17" x14ac:dyDescent="0.25">
      <c r="A31" s="72" t="s">
        <v>30</v>
      </c>
      <c r="D31" s="72" t="s">
        <v>167</v>
      </c>
    </row>
    <row r="32" spans="1:17" x14ac:dyDescent="0.25">
      <c r="A32" s="72" t="s">
        <v>30</v>
      </c>
      <c r="D32" s="72" t="s">
        <v>12</v>
      </c>
      <c r="F32" s="72" t="s">
        <v>168</v>
      </c>
    </row>
    <row r="33" spans="1:6" x14ac:dyDescent="0.25">
      <c r="A33" s="72" t="s">
        <v>30</v>
      </c>
      <c r="D33" s="72" t="s">
        <v>5</v>
      </c>
      <c r="F33" s="72" t="s">
        <v>169</v>
      </c>
    </row>
    <row r="34" spans="1:6" x14ac:dyDescent="0.25">
      <c r="A34" s="72" t="s">
        <v>19</v>
      </c>
      <c r="D34" s="72" t="s">
        <v>49</v>
      </c>
    </row>
    <row r="35" spans="1:6" x14ac:dyDescent="0.25">
      <c r="A35" s="72" t="s">
        <v>19</v>
      </c>
      <c r="F35" s="72" t="s">
        <v>170</v>
      </c>
    </row>
    <row r="36" spans="1:6" x14ac:dyDescent="0.25">
      <c r="A36" s="72" t="s">
        <v>19</v>
      </c>
    </row>
    <row r="37" spans="1:6" x14ac:dyDescent="0.25">
      <c r="A37" s="72" t="s">
        <v>30</v>
      </c>
      <c r="D37" s="72" t="s">
        <v>50</v>
      </c>
      <c r="F37" s="72" t="s">
        <v>171</v>
      </c>
    </row>
    <row r="38" spans="1:6" x14ac:dyDescent="0.25">
      <c r="A38" s="72" t="s">
        <v>30</v>
      </c>
      <c r="D38" s="72" t="s">
        <v>32</v>
      </c>
    </row>
    <row r="39" spans="1:6" x14ac:dyDescent="0.25">
      <c r="A39" s="72" t="s">
        <v>30</v>
      </c>
      <c r="D39" s="72" t="s">
        <v>51</v>
      </c>
    </row>
    <row r="40" spans="1:6" x14ac:dyDescent="0.25">
      <c r="A40" s="72" t="s">
        <v>30</v>
      </c>
      <c r="D40" s="72" t="s">
        <v>172</v>
      </c>
    </row>
    <row r="41" spans="1:6" x14ac:dyDescent="0.25">
      <c r="A41" s="72" t="s">
        <v>30</v>
      </c>
      <c r="D41" s="72" t="s">
        <v>55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/>
  </sheetViews>
  <sheetFormatPr defaultRowHeight="15" x14ac:dyDescent="0.25"/>
  <sheetData>
    <row r="1" spans="1:26" x14ac:dyDescent="0.25">
      <c r="A1" s="72" t="s">
        <v>1620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517</v>
      </c>
      <c r="E4" s="72" t="s">
        <v>37</v>
      </c>
      <c r="F4" s="72" t="s">
        <v>116</v>
      </c>
      <c r="K4" s="72" t="s">
        <v>42</v>
      </c>
      <c r="M4" s="72" t="s">
        <v>696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697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698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1078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79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1079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1080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x14ac:dyDescent="0.25">
      <c r="B28" s="72" t="s">
        <v>207</v>
      </c>
    </row>
    <row r="29" spans="1:17" x14ac:dyDescent="0.25">
      <c r="B29" s="72" t="s">
        <v>283</v>
      </c>
      <c r="D29" s="72" t="s">
        <v>166</v>
      </c>
    </row>
    <row r="31" spans="1:17" x14ac:dyDescent="0.25">
      <c r="A31" s="72" t="s">
        <v>30</v>
      </c>
      <c r="D31" s="72" t="s">
        <v>167</v>
      </c>
    </row>
    <row r="32" spans="1:17" x14ac:dyDescent="0.25">
      <c r="A32" s="72" t="s">
        <v>30</v>
      </c>
      <c r="D32" s="72" t="s">
        <v>12</v>
      </c>
      <c r="F32" s="72" t="s">
        <v>168</v>
      </c>
    </row>
    <row r="33" spans="1:6" x14ac:dyDescent="0.25">
      <c r="A33" s="72" t="s">
        <v>30</v>
      </c>
      <c r="D33" s="72" t="s">
        <v>5</v>
      </c>
      <c r="F33" s="72" t="s">
        <v>169</v>
      </c>
    </row>
    <row r="34" spans="1:6" x14ac:dyDescent="0.25">
      <c r="A34" s="72" t="s">
        <v>19</v>
      </c>
      <c r="D34" s="72" t="s">
        <v>49</v>
      </c>
    </row>
    <row r="35" spans="1:6" x14ac:dyDescent="0.25">
      <c r="A35" s="72" t="s">
        <v>19</v>
      </c>
      <c r="F35" s="72" t="s">
        <v>170</v>
      </c>
    </row>
    <row r="36" spans="1:6" x14ac:dyDescent="0.25">
      <c r="A36" s="72" t="s">
        <v>184</v>
      </c>
      <c r="F36" s="72" t="s">
        <v>1081</v>
      </c>
    </row>
    <row r="37" spans="1:6" x14ac:dyDescent="0.25">
      <c r="A37" s="72" t="s">
        <v>19</v>
      </c>
    </row>
    <row r="38" spans="1:6" x14ac:dyDescent="0.25">
      <c r="A38" s="72" t="s">
        <v>30</v>
      </c>
      <c r="D38" s="72" t="s">
        <v>50</v>
      </c>
      <c r="F38" s="72" t="s">
        <v>171</v>
      </c>
    </row>
    <row r="39" spans="1:6" x14ac:dyDescent="0.25">
      <c r="A39" s="72" t="s">
        <v>30</v>
      </c>
      <c r="D39" s="72" t="s">
        <v>32</v>
      </c>
    </row>
    <row r="40" spans="1:6" x14ac:dyDescent="0.25">
      <c r="A40" s="72" t="s">
        <v>30</v>
      </c>
      <c r="D40" s="72" t="s">
        <v>51</v>
      </c>
    </row>
    <row r="41" spans="1:6" x14ac:dyDescent="0.25">
      <c r="A41" s="72" t="s">
        <v>30</v>
      </c>
      <c r="D41" s="72" t="s">
        <v>172</v>
      </c>
    </row>
    <row r="42" spans="1:6" x14ac:dyDescent="0.25">
      <c r="A42" s="72" t="s">
        <v>30</v>
      </c>
      <c r="D42" s="72" t="s">
        <v>55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/>
  </sheetViews>
  <sheetFormatPr defaultRowHeight="15" x14ac:dyDescent="0.25"/>
  <sheetData>
    <row r="1" spans="1:26" x14ac:dyDescent="0.25">
      <c r="A1" s="72" t="s">
        <v>1622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804</v>
      </c>
      <c r="E4" s="72" t="s">
        <v>37</v>
      </c>
      <c r="F4" s="72" t="s">
        <v>116</v>
      </c>
      <c r="K4" s="72" t="s">
        <v>42</v>
      </c>
      <c r="M4" s="72" t="s">
        <v>683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684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685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1082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1084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1086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1088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79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1089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1090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1091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ht="105" x14ac:dyDescent="0.25">
      <c r="A32" s="72" t="s">
        <v>174</v>
      </c>
      <c r="B32" s="72" t="s">
        <v>297</v>
      </c>
      <c r="C32" s="72" t="s">
        <v>1092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17" ht="105" x14ac:dyDescent="0.25">
      <c r="A33" s="72" t="s">
        <v>174</v>
      </c>
      <c r="B33" s="72" t="s">
        <v>300</v>
      </c>
      <c r="C33" s="72" t="s">
        <v>1093</v>
      </c>
      <c r="D33" s="72" t="s">
        <v>320</v>
      </c>
      <c r="E33" s="72" t="s">
        <v>328</v>
      </c>
      <c r="F33" s="72" t="s">
        <v>336</v>
      </c>
      <c r="G33" s="73" t="s">
        <v>301</v>
      </c>
      <c r="H33" s="72" t="s">
        <v>344</v>
      </c>
      <c r="I33" s="72" t="s">
        <v>352</v>
      </c>
      <c r="J33" s="72" t="s">
        <v>360</v>
      </c>
      <c r="N33" s="72" t="s">
        <v>302</v>
      </c>
      <c r="O33" s="72" t="s">
        <v>368</v>
      </c>
      <c r="P33" s="72" t="s">
        <v>376</v>
      </c>
      <c r="Q33" s="73" t="s">
        <v>56</v>
      </c>
    </row>
    <row r="34" spans="1:17" ht="105" x14ac:dyDescent="0.25">
      <c r="A34" s="72" t="s">
        <v>174</v>
      </c>
      <c r="B34" s="72" t="s">
        <v>303</v>
      </c>
      <c r="C34" s="72" t="s">
        <v>1094</v>
      </c>
      <c r="D34" s="72" t="s">
        <v>321</v>
      </c>
      <c r="E34" s="72" t="s">
        <v>329</v>
      </c>
      <c r="F34" s="72" t="s">
        <v>337</v>
      </c>
      <c r="G34" s="73" t="s">
        <v>304</v>
      </c>
      <c r="H34" s="72" t="s">
        <v>345</v>
      </c>
      <c r="I34" s="72" t="s">
        <v>353</v>
      </c>
      <c r="J34" s="72" t="s">
        <v>361</v>
      </c>
      <c r="N34" s="72" t="s">
        <v>305</v>
      </c>
      <c r="O34" s="72" t="s">
        <v>369</v>
      </c>
      <c r="P34" s="72" t="s">
        <v>377</v>
      </c>
      <c r="Q34" s="73" t="s">
        <v>56</v>
      </c>
    </row>
    <row r="35" spans="1:17" ht="105" x14ac:dyDescent="0.25">
      <c r="A35" s="72" t="s">
        <v>174</v>
      </c>
      <c r="B35" s="72" t="s">
        <v>306</v>
      </c>
      <c r="C35" s="72" t="s">
        <v>1095</v>
      </c>
      <c r="D35" s="72" t="s">
        <v>322</v>
      </c>
      <c r="E35" s="72" t="s">
        <v>330</v>
      </c>
      <c r="F35" s="72" t="s">
        <v>338</v>
      </c>
      <c r="G35" s="73" t="s">
        <v>307</v>
      </c>
      <c r="H35" s="72" t="s">
        <v>346</v>
      </c>
      <c r="I35" s="72" t="s">
        <v>354</v>
      </c>
      <c r="J35" s="72" t="s">
        <v>362</v>
      </c>
      <c r="N35" s="72" t="s">
        <v>308</v>
      </c>
      <c r="O35" s="72" t="s">
        <v>370</v>
      </c>
      <c r="P35" s="72" t="s">
        <v>378</v>
      </c>
      <c r="Q35" s="73" t="s">
        <v>56</v>
      </c>
    </row>
    <row r="36" spans="1:17" ht="105" x14ac:dyDescent="0.25">
      <c r="A36" s="72" t="s">
        <v>174</v>
      </c>
      <c r="B36" s="72" t="s">
        <v>309</v>
      </c>
      <c r="C36" s="72" t="s">
        <v>1096</v>
      </c>
      <c r="D36" s="72" t="s">
        <v>323</v>
      </c>
      <c r="E36" s="72" t="s">
        <v>331</v>
      </c>
      <c r="F36" s="72" t="s">
        <v>339</v>
      </c>
      <c r="G36" s="73" t="s">
        <v>310</v>
      </c>
      <c r="H36" s="72" t="s">
        <v>347</v>
      </c>
      <c r="I36" s="72" t="s">
        <v>355</v>
      </c>
      <c r="J36" s="72" t="s">
        <v>363</v>
      </c>
      <c r="N36" s="72" t="s">
        <v>311</v>
      </c>
      <c r="O36" s="72" t="s">
        <v>371</v>
      </c>
      <c r="P36" s="72" t="s">
        <v>379</v>
      </c>
      <c r="Q36" s="73" t="s">
        <v>56</v>
      </c>
    </row>
    <row r="37" spans="1:17" ht="105" x14ac:dyDescent="0.25">
      <c r="A37" s="72" t="s">
        <v>174</v>
      </c>
      <c r="B37" s="72" t="s">
        <v>312</v>
      </c>
      <c r="C37" s="72" t="s">
        <v>1097</v>
      </c>
      <c r="D37" s="72" t="s">
        <v>324</v>
      </c>
      <c r="E37" s="72" t="s">
        <v>332</v>
      </c>
      <c r="F37" s="72" t="s">
        <v>340</v>
      </c>
      <c r="G37" s="73" t="s">
        <v>313</v>
      </c>
      <c r="H37" s="72" t="s">
        <v>348</v>
      </c>
      <c r="I37" s="72" t="s">
        <v>356</v>
      </c>
      <c r="J37" s="72" t="s">
        <v>364</v>
      </c>
      <c r="N37" s="72" t="s">
        <v>314</v>
      </c>
      <c r="O37" s="72" t="s">
        <v>372</v>
      </c>
      <c r="P37" s="72" t="s">
        <v>380</v>
      </c>
      <c r="Q37" s="73" t="s">
        <v>56</v>
      </c>
    </row>
    <row r="38" spans="1:17" x14ac:dyDescent="0.25">
      <c r="B38" s="72" t="s">
        <v>534</v>
      </c>
    </row>
    <row r="39" spans="1:17" x14ac:dyDescent="0.25">
      <c r="B39" s="72" t="s">
        <v>682</v>
      </c>
      <c r="D39" s="72" t="s">
        <v>166</v>
      </c>
    </row>
    <row r="41" spans="1:17" x14ac:dyDescent="0.25">
      <c r="A41" s="72" t="s">
        <v>30</v>
      </c>
      <c r="D41" s="72" t="s">
        <v>167</v>
      </c>
    </row>
    <row r="42" spans="1:17" x14ac:dyDescent="0.25">
      <c r="A42" s="72" t="s">
        <v>30</v>
      </c>
      <c r="D42" s="72" t="s">
        <v>12</v>
      </c>
      <c r="F42" s="72" t="s">
        <v>168</v>
      </c>
    </row>
    <row r="43" spans="1:17" x14ac:dyDescent="0.25">
      <c r="A43" s="72" t="s">
        <v>30</v>
      </c>
      <c r="D43" s="72" t="s">
        <v>5</v>
      </c>
      <c r="F43" s="72" t="s">
        <v>169</v>
      </c>
    </row>
    <row r="44" spans="1:17" x14ac:dyDescent="0.25">
      <c r="A44" s="72" t="s">
        <v>19</v>
      </c>
      <c r="D44" s="72" t="s">
        <v>49</v>
      </c>
    </row>
    <row r="45" spans="1:17" x14ac:dyDescent="0.25">
      <c r="A45" s="72" t="s">
        <v>19</v>
      </c>
      <c r="F45" s="72" t="s">
        <v>170</v>
      </c>
    </row>
    <row r="46" spans="1:17" x14ac:dyDescent="0.25">
      <c r="A46" s="72" t="s">
        <v>184</v>
      </c>
      <c r="F46" s="72" t="s">
        <v>1083</v>
      </c>
    </row>
    <row r="47" spans="1:17" x14ac:dyDescent="0.25">
      <c r="A47" s="72" t="s">
        <v>184</v>
      </c>
      <c r="F47" s="72" t="s">
        <v>1085</v>
      </c>
    </row>
    <row r="48" spans="1:17" x14ac:dyDescent="0.25">
      <c r="A48" s="72" t="s">
        <v>184</v>
      </c>
      <c r="F48" s="72" t="s">
        <v>1087</v>
      </c>
    </row>
    <row r="49" spans="1:6" x14ac:dyDescent="0.25">
      <c r="A49" s="72" t="s">
        <v>19</v>
      </c>
    </row>
    <row r="50" spans="1:6" x14ac:dyDescent="0.25">
      <c r="A50" s="72" t="s">
        <v>30</v>
      </c>
      <c r="D50" s="72" t="s">
        <v>50</v>
      </c>
      <c r="F50" s="72" t="s">
        <v>171</v>
      </c>
    </row>
    <row r="51" spans="1:6" x14ac:dyDescent="0.25">
      <c r="A51" s="72" t="s">
        <v>30</v>
      </c>
      <c r="D51" s="72" t="s">
        <v>32</v>
      </c>
    </row>
    <row r="52" spans="1:6" x14ac:dyDescent="0.25">
      <c r="A52" s="72" t="s">
        <v>30</v>
      </c>
      <c r="D52" s="72" t="s">
        <v>51</v>
      </c>
    </row>
    <row r="53" spans="1:6" x14ac:dyDescent="0.25">
      <c r="A53" s="72" t="s">
        <v>30</v>
      </c>
      <c r="D53" s="72" t="s">
        <v>172</v>
      </c>
    </row>
    <row r="54" spans="1:6" x14ac:dyDescent="0.25">
      <c r="A54" s="72" t="s">
        <v>30</v>
      </c>
      <c r="D54" s="72" t="s">
        <v>55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1624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1098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79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184</v>
      </c>
      <c r="F34" s="72" t="s">
        <v>1099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/>
  </sheetViews>
  <sheetFormatPr defaultRowHeight="15" x14ac:dyDescent="0.25"/>
  <sheetData>
    <row r="1" spans="1:26" x14ac:dyDescent="0.25">
      <c r="A1" s="72" t="s">
        <v>1626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858</v>
      </c>
      <c r="E4" s="72" t="s">
        <v>37</v>
      </c>
      <c r="F4" s="72" t="s">
        <v>116</v>
      </c>
      <c r="K4" s="72" t="s">
        <v>42</v>
      </c>
      <c r="M4" s="72" t="s">
        <v>1100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1101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1102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1103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79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1104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1105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1106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1107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1108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x14ac:dyDescent="0.25">
      <c r="B31" s="72" t="s">
        <v>207</v>
      </c>
    </row>
    <row r="32" spans="1:17" x14ac:dyDescent="0.25">
      <c r="B32" s="72" t="s">
        <v>680</v>
      </c>
      <c r="D32" s="72" t="s">
        <v>166</v>
      </c>
    </row>
    <row r="34" spans="1:6" x14ac:dyDescent="0.25">
      <c r="A34" s="72" t="s">
        <v>30</v>
      </c>
      <c r="D34" s="72" t="s">
        <v>167</v>
      </c>
    </row>
    <row r="35" spans="1:6" x14ac:dyDescent="0.25">
      <c r="A35" s="72" t="s">
        <v>30</v>
      </c>
      <c r="D35" s="72" t="s">
        <v>12</v>
      </c>
      <c r="F35" s="72" t="s">
        <v>168</v>
      </c>
    </row>
    <row r="36" spans="1:6" x14ac:dyDescent="0.25">
      <c r="A36" s="72" t="s">
        <v>30</v>
      </c>
      <c r="D36" s="72" t="s">
        <v>5</v>
      </c>
      <c r="F36" s="72" t="s">
        <v>169</v>
      </c>
    </row>
    <row r="37" spans="1:6" x14ac:dyDescent="0.25">
      <c r="A37" s="72" t="s">
        <v>19</v>
      </c>
      <c r="D37" s="72" t="s">
        <v>49</v>
      </c>
    </row>
    <row r="38" spans="1:6" x14ac:dyDescent="0.25">
      <c r="A38" s="72" t="s">
        <v>19</v>
      </c>
      <c r="F38" s="72" t="s">
        <v>170</v>
      </c>
    </row>
    <row r="39" spans="1:6" x14ac:dyDescent="0.25">
      <c r="A39" s="72" t="s">
        <v>19</v>
      </c>
    </row>
    <row r="40" spans="1:6" x14ac:dyDescent="0.25">
      <c r="A40" s="72" t="s">
        <v>30</v>
      </c>
      <c r="D40" s="72" t="s">
        <v>50</v>
      </c>
      <c r="F40" s="72" t="s">
        <v>171</v>
      </c>
    </row>
    <row r="41" spans="1:6" x14ac:dyDescent="0.25">
      <c r="A41" s="72" t="s">
        <v>30</v>
      </c>
      <c r="D41" s="72" t="s">
        <v>32</v>
      </c>
    </row>
    <row r="42" spans="1:6" x14ac:dyDescent="0.25">
      <c r="A42" s="72" t="s">
        <v>30</v>
      </c>
      <c r="D42" s="72" t="s">
        <v>51</v>
      </c>
    </row>
    <row r="43" spans="1:6" x14ac:dyDescent="0.25">
      <c r="A43" s="72" t="s">
        <v>30</v>
      </c>
      <c r="D43" s="72" t="s">
        <v>172</v>
      </c>
    </row>
    <row r="44" spans="1:6" x14ac:dyDescent="0.25">
      <c r="A44" s="72" t="s">
        <v>30</v>
      </c>
      <c r="D44" s="72" t="s">
        <v>55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/>
  </sheetViews>
  <sheetFormatPr defaultRowHeight="15" x14ac:dyDescent="0.25"/>
  <sheetData>
    <row r="1" spans="1:26" x14ac:dyDescent="0.25">
      <c r="A1" s="72" t="s">
        <v>1628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704</v>
      </c>
      <c r="C2" s="72" t="s">
        <v>7</v>
      </c>
      <c r="D2" s="72" t="s">
        <v>705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1109</v>
      </c>
      <c r="E4" s="72" t="s">
        <v>37</v>
      </c>
      <c r="F4" s="72" t="s">
        <v>116</v>
      </c>
      <c r="K4" s="72" t="s">
        <v>42</v>
      </c>
      <c r="M4" s="72" t="s">
        <v>1110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1111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1112</v>
      </c>
      <c r="W6" s="72" t="s">
        <v>706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423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707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149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150</v>
      </c>
      <c r="C13" s="72" t="s">
        <v>1113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151</v>
      </c>
      <c r="C14" s="72" t="s">
        <v>1114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152</v>
      </c>
      <c r="C15" s="72" t="s">
        <v>1115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207</v>
      </c>
      <c r="C16" s="72" t="s">
        <v>1117</v>
      </c>
      <c r="E16" s="72" t="s">
        <v>571</v>
      </c>
      <c r="F16" s="72" t="s">
        <v>575</v>
      </c>
    </row>
    <row r="17" spans="1:17" x14ac:dyDescent="0.25">
      <c r="A17" s="72" t="s">
        <v>173</v>
      </c>
      <c r="B17" s="72" t="s">
        <v>225</v>
      </c>
      <c r="C17" s="72" t="s">
        <v>1118</v>
      </c>
      <c r="E17" s="72" t="s">
        <v>572</v>
      </c>
      <c r="F17" s="72" t="s">
        <v>576</v>
      </c>
    </row>
    <row r="18" spans="1:17" x14ac:dyDescent="0.25">
      <c r="A18" s="72" t="s">
        <v>173</v>
      </c>
      <c r="B18" s="72" t="s">
        <v>226</v>
      </c>
      <c r="C18" s="72" t="s">
        <v>1120</v>
      </c>
      <c r="E18" s="72" t="s">
        <v>573</v>
      </c>
      <c r="F18" s="72" t="s">
        <v>577</v>
      </c>
    </row>
    <row r="19" spans="1:17" x14ac:dyDescent="0.25">
      <c r="A19" s="72" t="s">
        <v>173</v>
      </c>
      <c r="B19" s="72" t="s">
        <v>534</v>
      </c>
      <c r="C19" s="72" t="s">
        <v>1121</v>
      </c>
      <c r="E19" s="72" t="s">
        <v>574</v>
      </c>
      <c r="F19" s="72" t="s">
        <v>578</v>
      </c>
    </row>
    <row r="20" spans="1:17" x14ac:dyDescent="0.25">
      <c r="A20" s="72" t="s">
        <v>173</v>
      </c>
      <c r="B20" s="72" t="s">
        <v>535</v>
      </c>
      <c r="C20" s="72" t="s">
        <v>1123</v>
      </c>
      <c r="E20" s="72" t="s">
        <v>712</v>
      </c>
      <c r="F20" s="72" t="s">
        <v>713</v>
      </c>
    </row>
    <row r="21" spans="1:17" x14ac:dyDescent="0.25">
      <c r="A21" s="72" t="s">
        <v>6</v>
      </c>
      <c r="B21" s="72" t="s">
        <v>150</v>
      </c>
      <c r="C21" s="72" t="s">
        <v>135</v>
      </c>
      <c r="E21" s="72" t="s">
        <v>138</v>
      </c>
      <c r="F21" s="72" t="s">
        <v>139</v>
      </c>
    </row>
    <row r="22" spans="1:17" x14ac:dyDescent="0.25">
      <c r="A22" s="72" t="s">
        <v>6</v>
      </c>
      <c r="B22" s="72" t="s">
        <v>151</v>
      </c>
      <c r="E22" s="72" t="s">
        <v>708</v>
      </c>
      <c r="F22" s="72" t="s">
        <v>709</v>
      </c>
    </row>
    <row r="23" spans="1:17" x14ac:dyDescent="0.25">
      <c r="B23" s="72" t="s">
        <v>152</v>
      </c>
      <c r="E23" s="72" t="s">
        <v>20</v>
      </c>
      <c r="F23" s="72" t="s">
        <v>144</v>
      </c>
    </row>
    <row r="24" spans="1:17" x14ac:dyDescent="0.25">
      <c r="B24" s="72" t="s">
        <v>207</v>
      </c>
    </row>
    <row r="25" spans="1:17" x14ac:dyDescent="0.25">
      <c r="B25" s="72" t="s">
        <v>225</v>
      </c>
    </row>
    <row r="26" spans="1:17" x14ac:dyDescent="0.25">
      <c r="B26" s="72" t="s">
        <v>226</v>
      </c>
    </row>
    <row r="27" spans="1:17" x14ac:dyDescent="0.25">
      <c r="B27" s="72" t="s">
        <v>534</v>
      </c>
      <c r="E27" s="72" t="s">
        <v>33</v>
      </c>
      <c r="H27" s="72" t="s">
        <v>53</v>
      </c>
    </row>
    <row r="28" spans="1:17" x14ac:dyDescent="0.25">
      <c r="B28" s="72" t="s">
        <v>535</v>
      </c>
    </row>
    <row r="29" spans="1:17" x14ac:dyDescent="0.25">
      <c r="B29" s="72" t="s">
        <v>536</v>
      </c>
      <c r="E29" s="72" t="s">
        <v>32</v>
      </c>
      <c r="H29" s="72" t="s">
        <v>54</v>
      </c>
    </row>
    <row r="30" spans="1:17" x14ac:dyDescent="0.25">
      <c r="B30" s="72" t="s">
        <v>537</v>
      </c>
      <c r="C30" s="72" t="s">
        <v>52</v>
      </c>
      <c r="D30" s="72" t="s">
        <v>52</v>
      </c>
    </row>
    <row r="31" spans="1:17" x14ac:dyDescent="0.25">
      <c r="B31" s="72" t="s">
        <v>710</v>
      </c>
      <c r="C31" s="72" t="s">
        <v>79</v>
      </c>
      <c r="D31" s="72" t="s">
        <v>28</v>
      </c>
      <c r="E31" s="72" t="s">
        <v>26</v>
      </c>
      <c r="F31" s="72" t="s">
        <v>29</v>
      </c>
      <c r="G31" s="72" t="s">
        <v>57</v>
      </c>
      <c r="H31" s="72" t="s">
        <v>27</v>
      </c>
      <c r="I31" s="72" t="s">
        <v>25</v>
      </c>
      <c r="J31" s="72" t="s">
        <v>10</v>
      </c>
      <c r="K31" s="72" t="s">
        <v>24</v>
      </c>
      <c r="M31" s="72" t="s">
        <v>31</v>
      </c>
      <c r="N31" s="72" t="s">
        <v>21</v>
      </c>
      <c r="O31" s="72" t="s">
        <v>22</v>
      </c>
      <c r="P31" s="72" t="s">
        <v>23</v>
      </c>
    </row>
    <row r="32" spans="1:17" ht="105" x14ac:dyDescent="0.25">
      <c r="B32" s="72" t="s">
        <v>297</v>
      </c>
      <c r="C32" s="72" t="s">
        <v>711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17" ht="105" x14ac:dyDescent="0.25">
      <c r="A33" s="72" t="s">
        <v>174</v>
      </c>
      <c r="B33" s="72" t="s">
        <v>300</v>
      </c>
      <c r="C33" s="72" t="s">
        <v>1124</v>
      </c>
      <c r="D33" s="72" t="s">
        <v>320</v>
      </c>
      <c r="E33" s="72" t="s">
        <v>328</v>
      </c>
      <c r="F33" s="72" t="s">
        <v>336</v>
      </c>
      <c r="G33" s="73" t="s">
        <v>301</v>
      </c>
      <c r="H33" s="72" t="s">
        <v>344</v>
      </c>
      <c r="I33" s="72" t="s">
        <v>352</v>
      </c>
      <c r="J33" s="72" t="s">
        <v>360</v>
      </c>
      <c r="N33" s="72" t="s">
        <v>302</v>
      </c>
      <c r="O33" s="72" t="s">
        <v>368</v>
      </c>
      <c r="P33" s="72" t="s">
        <v>376</v>
      </c>
      <c r="Q33" s="73" t="s">
        <v>56</v>
      </c>
    </row>
    <row r="34" spans="1:17" ht="105" x14ac:dyDescent="0.25">
      <c r="A34" s="72" t="s">
        <v>174</v>
      </c>
      <c r="B34" s="72" t="s">
        <v>303</v>
      </c>
      <c r="C34" s="72" t="s">
        <v>1125</v>
      </c>
      <c r="D34" s="72" t="s">
        <v>321</v>
      </c>
      <c r="E34" s="72" t="s">
        <v>329</v>
      </c>
      <c r="F34" s="72" t="s">
        <v>337</v>
      </c>
      <c r="G34" s="73" t="s">
        <v>304</v>
      </c>
      <c r="H34" s="72" t="s">
        <v>345</v>
      </c>
      <c r="I34" s="72" t="s">
        <v>353</v>
      </c>
      <c r="J34" s="72" t="s">
        <v>361</v>
      </c>
      <c r="N34" s="72" t="s">
        <v>305</v>
      </c>
      <c r="O34" s="72" t="s">
        <v>369</v>
      </c>
      <c r="P34" s="72" t="s">
        <v>377</v>
      </c>
      <c r="Q34" s="73" t="s">
        <v>56</v>
      </c>
    </row>
    <row r="35" spans="1:17" ht="105" x14ac:dyDescent="0.25">
      <c r="A35" s="72" t="s">
        <v>174</v>
      </c>
      <c r="B35" s="72" t="s">
        <v>306</v>
      </c>
      <c r="C35" s="72" t="s">
        <v>1126</v>
      </c>
      <c r="D35" s="72" t="s">
        <v>322</v>
      </c>
      <c r="E35" s="72" t="s">
        <v>330</v>
      </c>
      <c r="F35" s="72" t="s">
        <v>338</v>
      </c>
      <c r="G35" s="73" t="s">
        <v>307</v>
      </c>
      <c r="H35" s="72" t="s">
        <v>346</v>
      </c>
      <c r="I35" s="72" t="s">
        <v>354</v>
      </c>
      <c r="J35" s="72" t="s">
        <v>362</v>
      </c>
      <c r="N35" s="72" t="s">
        <v>308</v>
      </c>
      <c r="O35" s="72" t="s">
        <v>370</v>
      </c>
      <c r="P35" s="72" t="s">
        <v>378</v>
      </c>
      <c r="Q35" s="73" t="s">
        <v>56</v>
      </c>
    </row>
    <row r="36" spans="1:17" ht="105" x14ac:dyDescent="0.25">
      <c r="A36" s="72" t="s">
        <v>174</v>
      </c>
      <c r="B36" s="72" t="s">
        <v>309</v>
      </c>
      <c r="C36" s="72" t="s">
        <v>1127</v>
      </c>
      <c r="D36" s="72" t="s">
        <v>323</v>
      </c>
      <c r="E36" s="72" t="s">
        <v>331</v>
      </c>
      <c r="F36" s="72" t="s">
        <v>339</v>
      </c>
      <c r="G36" s="73" t="s">
        <v>310</v>
      </c>
      <c r="H36" s="72" t="s">
        <v>347</v>
      </c>
      <c r="I36" s="72" t="s">
        <v>355</v>
      </c>
      <c r="J36" s="72" t="s">
        <v>363</v>
      </c>
      <c r="N36" s="72" t="s">
        <v>311</v>
      </c>
      <c r="O36" s="72" t="s">
        <v>371</v>
      </c>
      <c r="P36" s="72" t="s">
        <v>379</v>
      </c>
      <c r="Q36" s="73" t="s">
        <v>56</v>
      </c>
    </row>
    <row r="37" spans="1:17" ht="105" x14ac:dyDescent="0.25">
      <c r="A37" s="72" t="s">
        <v>174</v>
      </c>
      <c r="B37" s="72" t="s">
        <v>312</v>
      </c>
      <c r="C37" s="72" t="s">
        <v>1128</v>
      </c>
      <c r="D37" s="72" t="s">
        <v>324</v>
      </c>
      <c r="E37" s="72" t="s">
        <v>332</v>
      </c>
      <c r="F37" s="72" t="s">
        <v>340</v>
      </c>
      <c r="G37" s="73" t="s">
        <v>313</v>
      </c>
      <c r="H37" s="72" t="s">
        <v>348</v>
      </c>
      <c r="I37" s="72" t="s">
        <v>356</v>
      </c>
      <c r="J37" s="72" t="s">
        <v>364</v>
      </c>
      <c r="N37" s="72" t="s">
        <v>314</v>
      </c>
      <c r="O37" s="72" t="s">
        <v>372</v>
      </c>
      <c r="P37" s="72" t="s">
        <v>380</v>
      </c>
      <c r="Q37" s="73" t="s">
        <v>56</v>
      </c>
    </row>
    <row r="38" spans="1:17" ht="105" x14ac:dyDescent="0.25">
      <c r="A38" s="72" t="s">
        <v>174</v>
      </c>
      <c r="B38" s="72" t="s">
        <v>315</v>
      </c>
      <c r="C38" s="72" t="s">
        <v>1129</v>
      </c>
      <c r="D38" s="72" t="s">
        <v>325</v>
      </c>
      <c r="E38" s="72" t="s">
        <v>333</v>
      </c>
      <c r="F38" s="72" t="s">
        <v>341</v>
      </c>
      <c r="G38" s="73" t="s">
        <v>316</v>
      </c>
      <c r="H38" s="72" t="s">
        <v>349</v>
      </c>
      <c r="I38" s="72" t="s">
        <v>357</v>
      </c>
      <c r="J38" s="72" t="s">
        <v>365</v>
      </c>
      <c r="N38" s="72" t="s">
        <v>317</v>
      </c>
      <c r="O38" s="72" t="s">
        <v>373</v>
      </c>
      <c r="P38" s="72" t="s">
        <v>381</v>
      </c>
      <c r="Q38" s="73" t="s">
        <v>56</v>
      </c>
    </row>
    <row r="39" spans="1:17" ht="105" x14ac:dyDescent="0.25">
      <c r="A39" s="72" t="s">
        <v>174</v>
      </c>
      <c r="B39" s="72" t="s">
        <v>538</v>
      </c>
      <c r="C39" s="72" t="s">
        <v>1130</v>
      </c>
      <c r="D39" s="72" t="s">
        <v>579</v>
      </c>
      <c r="E39" s="72" t="s">
        <v>590</v>
      </c>
      <c r="F39" s="72" t="s">
        <v>601</v>
      </c>
      <c r="G39" s="73" t="s">
        <v>539</v>
      </c>
      <c r="H39" s="72" t="s">
        <v>612</v>
      </c>
      <c r="I39" s="72" t="s">
        <v>623</v>
      </c>
      <c r="J39" s="72" t="s">
        <v>634</v>
      </c>
      <c r="N39" s="72" t="s">
        <v>540</v>
      </c>
      <c r="O39" s="72" t="s">
        <v>645</v>
      </c>
      <c r="P39" s="72" t="s">
        <v>656</v>
      </c>
      <c r="Q39" s="73" t="s">
        <v>56</v>
      </c>
    </row>
    <row r="40" spans="1:17" ht="105" x14ac:dyDescent="0.25">
      <c r="A40" s="72" t="s">
        <v>174</v>
      </c>
      <c r="B40" s="72" t="s">
        <v>541</v>
      </c>
      <c r="C40" s="72" t="s">
        <v>1131</v>
      </c>
      <c r="D40" s="72" t="s">
        <v>580</v>
      </c>
      <c r="E40" s="72" t="s">
        <v>591</v>
      </c>
      <c r="F40" s="72" t="s">
        <v>602</v>
      </c>
      <c r="G40" s="73" t="s">
        <v>542</v>
      </c>
      <c r="H40" s="72" t="s">
        <v>613</v>
      </c>
      <c r="I40" s="72" t="s">
        <v>624</v>
      </c>
      <c r="J40" s="72" t="s">
        <v>635</v>
      </c>
      <c r="N40" s="72" t="s">
        <v>543</v>
      </c>
      <c r="O40" s="72" t="s">
        <v>646</v>
      </c>
      <c r="P40" s="72" t="s">
        <v>657</v>
      </c>
      <c r="Q40" s="73" t="s">
        <v>56</v>
      </c>
    </row>
    <row r="41" spans="1:17" ht="105" x14ac:dyDescent="0.25">
      <c r="A41" s="72" t="s">
        <v>174</v>
      </c>
      <c r="B41" s="72" t="s">
        <v>544</v>
      </c>
      <c r="C41" s="72" t="s">
        <v>1132</v>
      </c>
      <c r="D41" s="72" t="s">
        <v>581</v>
      </c>
      <c r="E41" s="72" t="s">
        <v>592</v>
      </c>
      <c r="F41" s="72" t="s">
        <v>603</v>
      </c>
      <c r="G41" s="73" t="s">
        <v>545</v>
      </c>
      <c r="H41" s="72" t="s">
        <v>614</v>
      </c>
      <c r="I41" s="72" t="s">
        <v>625</v>
      </c>
      <c r="J41" s="72" t="s">
        <v>636</v>
      </c>
      <c r="N41" s="72" t="s">
        <v>546</v>
      </c>
      <c r="O41" s="72" t="s">
        <v>647</v>
      </c>
      <c r="P41" s="72" t="s">
        <v>658</v>
      </c>
      <c r="Q41" s="73" t="s">
        <v>56</v>
      </c>
    </row>
    <row r="42" spans="1:17" ht="105" x14ac:dyDescent="0.25">
      <c r="A42" s="72" t="s">
        <v>174</v>
      </c>
      <c r="B42" s="72" t="s">
        <v>547</v>
      </c>
      <c r="C42" s="72" t="s">
        <v>1133</v>
      </c>
      <c r="D42" s="72" t="s">
        <v>582</v>
      </c>
      <c r="E42" s="72" t="s">
        <v>593</v>
      </c>
      <c r="F42" s="72" t="s">
        <v>604</v>
      </c>
      <c r="G42" s="73" t="s">
        <v>548</v>
      </c>
      <c r="H42" s="72" t="s">
        <v>615</v>
      </c>
      <c r="I42" s="72" t="s">
        <v>626</v>
      </c>
      <c r="J42" s="72" t="s">
        <v>637</v>
      </c>
      <c r="N42" s="72" t="s">
        <v>549</v>
      </c>
      <c r="O42" s="72" t="s">
        <v>648</v>
      </c>
      <c r="P42" s="72" t="s">
        <v>659</v>
      </c>
      <c r="Q42" s="73" t="s">
        <v>56</v>
      </c>
    </row>
    <row r="43" spans="1:17" ht="105" x14ac:dyDescent="0.25">
      <c r="A43" s="72" t="s">
        <v>174</v>
      </c>
      <c r="B43" s="72" t="s">
        <v>550</v>
      </c>
      <c r="C43" s="72" t="s">
        <v>1134</v>
      </c>
      <c r="D43" s="72" t="s">
        <v>583</v>
      </c>
      <c r="E43" s="72" t="s">
        <v>594</v>
      </c>
      <c r="F43" s="72" t="s">
        <v>605</v>
      </c>
      <c r="G43" s="73" t="s">
        <v>551</v>
      </c>
      <c r="H43" s="72" t="s">
        <v>616</v>
      </c>
      <c r="I43" s="72" t="s">
        <v>627</v>
      </c>
      <c r="J43" s="72" t="s">
        <v>638</v>
      </c>
      <c r="N43" s="72" t="s">
        <v>552</v>
      </c>
      <c r="O43" s="72" t="s">
        <v>649</v>
      </c>
      <c r="P43" s="72" t="s">
        <v>660</v>
      </c>
      <c r="Q43" s="73" t="s">
        <v>56</v>
      </c>
    </row>
    <row r="44" spans="1:17" ht="105" x14ac:dyDescent="0.25">
      <c r="A44" s="72" t="s">
        <v>174</v>
      </c>
      <c r="B44" s="72" t="s">
        <v>553</v>
      </c>
      <c r="C44" s="72" t="s">
        <v>1135</v>
      </c>
      <c r="D44" s="72" t="s">
        <v>584</v>
      </c>
      <c r="E44" s="72" t="s">
        <v>595</v>
      </c>
      <c r="F44" s="72" t="s">
        <v>606</v>
      </c>
      <c r="G44" s="73" t="s">
        <v>554</v>
      </c>
      <c r="H44" s="72" t="s">
        <v>617</v>
      </c>
      <c r="I44" s="72" t="s">
        <v>628</v>
      </c>
      <c r="J44" s="72" t="s">
        <v>639</v>
      </c>
      <c r="N44" s="72" t="s">
        <v>555</v>
      </c>
      <c r="O44" s="72" t="s">
        <v>650</v>
      </c>
      <c r="P44" s="72" t="s">
        <v>661</v>
      </c>
      <c r="Q44" s="73" t="s">
        <v>56</v>
      </c>
    </row>
    <row r="45" spans="1:17" ht="105" x14ac:dyDescent="0.25">
      <c r="A45" s="72" t="s">
        <v>174</v>
      </c>
      <c r="B45" s="72" t="s">
        <v>556</v>
      </c>
      <c r="C45" s="72" t="s">
        <v>1136</v>
      </c>
      <c r="D45" s="72" t="s">
        <v>585</v>
      </c>
      <c r="E45" s="72" t="s">
        <v>596</v>
      </c>
      <c r="F45" s="72" t="s">
        <v>607</v>
      </c>
      <c r="G45" s="73" t="s">
        <v>557</v>
      </c>
      <c r="H45" s="72" t="s">
        <v>618</v>
      </c>
      <c r="I45" s="72" t="s">
        <v>629</v>
      </c>
      <c r="J45" s="72" t="s">
        <v>640</v>
      </c>
      <c r="N45" s="72" t="s">
        <v>558</v>
      </c>
      <c r="O45" s="72" t="s">
        <v>651</v>
      </c>
      <c r="P45" s="72" t="s">
        <v>662</v>
      </c>
      <c r="Q45" s="73" t="s">
        <v>56</v>
      </c>
    </row>
    <row r="46" spans="1:17" ht="105" x14ac:dyDescent="0.25">
      <c r="A46" s="72" t="s">
        <v>174</v>
      </c>
      <c r="B46" s="72" t="s">
        <v>559</v>
      </c>
      <c r="C46" s="72" t="s">
        <v>1137</v>
      </c>
      <c r="D46" s="72" t="s">
        <v>586</v>
      </c>
      <c r="E46" s="72" t="s">
        <v>597</v>
      </c>
      <c r="F46" s="72" t="s">
        <v>608</v>
      </c>
      <c r="G46" s="73" t="s">
        <v>560</v>
      </c>
      <c r="H46" s="72" t="s">
        <v>619</v>
      </c>
      <c r="I46" s="72" t="s">
        <v>630</v>
      </c>
      <c r="J46" s="72" t="s">
        <v>641</v>
      </c>
      <c r="N46" s="72" t="s">
        <v>561</v>
      </c>
      <c r="O46" s="72" t="s">
        <v>652</v>
      </c>
      <c r="P46" s="72" t="s">
        <v>663</v>
      </c>
      <c r="Q46" s="73" t="s">
        <v>56</v>
      </c>
    </row>
    <row r="47" spans="1:17" ht="105" x14ac:dyDescent="0.25">
      <c r="A47" s="72" t="s">
        <v>174</v>
      </c>
      <c r="B47" s="72" t="s">
        <v>562</v>
      </c>
      <c r="C47" s="72" t="s">
        <v>1138</v>
      </c>
      <c r="D47" s="72" t="s">
        <v>587</v>
      </c>
      <c r="E47" s="72" t="s">
        <v>598</v>
      </c>
      <c r="F47" s="72" t="s">
        <v>609</v>
      </c>
      <c r="G47" s="73" t="s">
        <v>563</v>
      </c>
      <c r="H47" s="72" t="s">
        <v>620</v>
      </c>
      <c r="I47" s="72" t="s">
        <v>631</v>
      </c>
      <c r="J47" s="72" t="s">
        <v>642</v>
      </c>
      <c r="N47" s="72" t="s">
        <v>564</v>
      </c>
      <c r="O47" s="72" t="s">
        <v>653</v>
      </c>
      <c r="P47" s="72" t="s">
        <v>664</v>
      </c>
      <c r="Q47" s="73" t="s">
        <v>56</v>
      </c>
    </row>
    <row r="48" spans="1:17" ht="105" x14ac:dyDescent="0.25">
      <c r="A48" s="72" t="s">
        <v>174</v>
      </c>
      <c r="B48" s="72" t="s">
        <v>565</v>
      </c>
      <c r="C48" s="72" t="s">
        <v>1139</v>
      </c>
      <c r="D48" s="72" t="s">
        <v>588</v>
      </c>
      <c r="E48" s="72" t="s">
        <v>599</v>
      </c>
      <c r="F48" s="72" t="s">
        <v>610</v>
      </c>
      <c r="G48" s="73" t="s">
        <v>566</v>
      </c>
      <c r="H48" s="72" t="s">
        <v>621</v>
      </c>
      <c r="I48" s="72" t="s">
        <v>632</v>
      </c>
      <c r="J48" s="72" t="s">
        <v>643</v>
      </c>
      <c r="N48" s="72" t="s">
        <v>567</v>
      </c>
      <c r="O48" s="72" t="s">
        <v>654</v>
      </c>
      <c r="P48" s="72" t="s">
        <v>665</v>
      </c>
      <c r="Q48" s="73" t="s">
        <v>56</v>
      </c>
    </row>
    <row r="49" spans="1:17" ht="105" x14ac:dyDescent="0.25">
      <c r="A49" s="72" t="s">
        <v>174</v>
      </c>
      <c r="B49" s="72" t="s">
        <v>568</v>
      </c>
      <c r="C49" s="72" t="s">
        <v>1140</v>
      </c>
      <c r="D49" s="72" t="s">
        <v>589</v>
      </c>
      <c r="E49" s="72" t="s">
        <v>600</v>
      </c>
      <c r="F49" s="72" t="s">
        <v>611</v>
      </c>
      <c r="G49" s="73" t="s">
        <v>569</v>
      </c>
      <c r="H49" s="72" t="s">
        <v>622</v>
      </c>
      <c r="I49" s="72" t="s">
        <v>633</v>
      </c>
      <c r="J49" s="72" t="s">
        <v>644</v>
      </c>
      <c r="N49" s="72" t="s">
        <v>570</v>
      </c>
      <c r="O49" s="72" t="s">
        <v>655</v>
      </c>
      <c r="P49" s="72" t="s">
        <v>666</v>
      </c>
      <c r="Q49" s="73" t="s">
        <v>56</v>
      </c>
    </row>
    <row r="50" spans="1:17" x14ac:dyDescent="0.25">
      <c r="B50" s="72" t="s">
        <v>710</v>
      </c>
    </row>
    <row r="51" spans="1:17" x14ac:dyDescent="0.25">
      <c r="B51" s="72" t="s">
        <v>1141</v>
      </c>
      <c r="D51" s="72" t="s">
        <v>166</v>
      </c>
    </row>
    <row r="53" spans="1:17" x14ac:dyDescent="0.25">
      <c r="A53" s="72" t="s">
        <v>30</v>
      </c>
      <c r="D53" s="72" t="s">
        <v>167</v>
      </c>
    </row>
    <row r="54" spans="1:17" x14ac:dyDescent="0.25">
      <c r="A54" s="72" t="s">
        <v>30</v>
      </c>
      <c r="D54" s="72" t="s">
        <v>12</v>
      </c>
      <c r="F54" s="72" t="s">
        <v>168</v>
      </c>
    </row>
    <row r="55" spans="1:17" x14ac:dyDescent="0.25">
      <c r="A55" s="72" t="s">
        <v>30</v>
      </c>
      <c r="D55" s="72" t="s">
        <v>5</v>
      </c>
      <c r="F55" s="72" t="s">
        <v>169</v>
      </c>
    </row>
    <row r="56" spans="1:17" x14ac:dyDescent="0.25">
      <c r="A56" s="72" t="s">
        <v>19</v>
      </c>
      <c r="D56" s="72" t="s">
        <v>49</v>
      </c>
    </row>
    <row r="57" spans="1:17" x14ac:dyDescent="0.25">
      <c r="A57" s="72" t="s">
        <v>19</v>
      </c>
      <c r="F57" s="72" t="s">
        <v>170</v>
      </c>
    </row>
    <row r="58" spans="1:17" x14ac:dyDescent="0.25">
      <c r="A58" s="72" t="s">
        <v>184</v>
      </c>
      <c r="F58" s="72" t="s">
        <v>1116</v>
      </c>
    </row>
    <row r="59" spans="1:17" x14ac:dyDescent="0.25">
      <c r="A59" s="72" t="s">
        <v>184</v>
      </c>
      <c r="F59" s="72" t="s">
        <v>1119</v>
      </c>
    </row>
    <row r="60" spans="1:17" x14ac:dyDescent="0.25">
      <c r="A60" s="72" t="s">
        <v>184</v>
      </c>
      <c r="F60" s="72" t="s">
        <v>1122</v>
      </c>
    </row>
    <row r="61" spans="1:17" x14ac:dyDescent="0.25">
      <c r="A61" s="72" t="s">
        <v>19</v>
      </c>
    </row>
    <row r="62" spans="1:17" x14ac:dyDescent="0.25">
      <c r="A62" s="72" t="s">
        <v>30</v>
      </c>
      <c r="D62" s="72" t="s">
        <v>50</v>
      </c>
      <c r="F62" s="72" t="s">
        <v>171</v>
      </c>
    </row>
    <row r="63" spans="1:17" x14ac:dyDescent="0.25">
      <c r="A63" s="72" t="s">
        <v>30</v>
      </c>
      <c r="D63" s="72" t="s">
        <v>32</v>
      </c>
    </row>
    <row r="64" spans="1:17" x14ac:dyDescent="0.25">
      <c r="A64" s="72" t="s">
        <v>30</v>
      </c>
      <c r="D64" s="72" t="s">
        <v>51</v>
      </c>
    </row>
    <row r="65" spans="1:4" x14ac:dyDescent="0.25">
      <c r="A65" s="72" t="s">
        <v>30</v>
      </c>
      <c r="D65" s="72" t="s">
        <v>172</v>
      </c>
    </row>
    <row r="66" spans="1:4" x14ac:dyDescent="0.25">
      <c r="A66" s="72" t="s">
        <v>30</v>
      </c>
      <c r="D66" s="72" t="s">
        <v>55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1630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44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1632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836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44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1586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NEW ENCOUNTERS  (003511RY)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"003511RY"</f>
        <v>003511RY</v>
      </c>
      <c r="E4" s="101" t="s">
        <v>37</v>
      </c>
      <c r="F4" s="105" t="str">
        <f>C4</f>
        <v>003511RY</v>
      </c>
      <c r="K4" s="101" t="s">
        <v>42</v>
      </c>
      <c r="L4" s="104"/>
      <c r="M4" s="111">
        <f>SUM(I25:I30)</f>
        <v>22</v>
      </c>
    </row>
    <row r="5" spans="1:26" ht="18" customHeight="1" x14ac:dyDescent="0.25">
      <c r="B5" s="76" t="str">
        <f t="shared" si="0"/>
        <v>Show</v>
      </c>
      <c r="C5" s="109" t="s">
        <v>1325</v>
      </c>
      <c r="E5" s="101" t="s">
        <v>36</v>
      </c>
      <c r="F5" s="112" t="s">
        <v>1324</v>
      </c>
      <c r="K5" s="101" t="s">
        <v>43</v>
      </c>
      <c r="L5" s="104"/>
      <c r="M5" s="111">
        <f>ROUND(SUM(O25:O30),0)</f>
        <v>585</v>
      </c>
    </row>
    <row r="6" spans="1:26" ht="18" customHeight="1" x14ac:dyDescent="0.25">
      <c r="B6" s="76" t="str">
        <f t="shared" si="0"/>
        <v>Show</v>
      </c>
      <c r="C6" s="109" t="s">
        <v>1326</v>
      </c>
      <c r="E6" s="101" t="s">
        <v>38</v>
      </c>
      <c r="F6" s="105" t="s">
        <v>60</v>
      </c>
      <c r="G6" s="110" t="s">
        <v>737</v>
      </c>
      <c r="I6" s="109"/>
      <c r="J6" s="109"/>
      <c r="K6" s="108" t="s">
        <v>58</v>
      </c>
      <c r="L6" s="108"/>
      <c r="M6" s="107">
        <f>ROUND(COUNT(O25:O30),0)</f>
        <v>5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A108389|A108389|A108389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ITPN-207492|ITPN-207493|ITPN-207492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1327</v>
      </c>
      <c r="E12" s="74" t="s">
        <v>1319</v>
      </c>
      <c r="F12" s="74" t="s">
        <v>1320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Pick"",""2"",""ITPN-207493"""</f>
        <v>"Ceres NTFB Live","NTFB Live","5766","1","Invt. Pick","2","ITPN-207493"</v>
      </c>
      <c r="E13" s="74" t="s">
        <v>1319</v>
      </c>
      <c r="F13" s="74" t="s">
        <v>1321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1319</v>
      </c>
      <c r="E14" s="74" t="str">
        <f>E12</f>
        <v>A108389</v>
      </c>
      <c r="F14" s="74" t="str">
        <f>F12</f>
        <v>ITPN-207492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1322</v>
      </c>
      <c r="F15" s="92" t="s">
        <v>1323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96" t="s">
        <v>79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1330</v>
      </c>
      <c r="D25" s="89" t="str">
        <f>"02-07-01"</f>
        <v>02-07-01</v>
      </c>
      <c r="E25" s="89" t="str">
        <f>"P00160839"</f>
        <v>P00160839</v>
      </c>
      <c r="F25" s="89" t="str">
        <f>"1000002787"</f>
        <v>1000002787</v>
      </c>
      <c r="G25" s="91" t="s">
        <v>1328</v>
      </c>
      <c r="H25" s="90" t="str">
        <f>"BEVERAGE, OTG LIMEADE, ADVOCARE"</f>
        <v>BEVERAGE, OTG LIMEADE, ADVOCARE</v>
      </c>
      <c r="I25" s="89">
        <v>4</v>
      </c>
      <c r="J25" s="89" t="str">
        <f>"CS"</f>
        <v>CS</v>
      </c>
      <c r="K25" s="88"/>
      <c r="L25" s="87"/>
      <c r="M25" s="87"/>
      <c r="N25" s="85" t="s">
        <v>179</v>
      </c>
      <c r="O25" s="85">
        <v>120</v>
      </c>
      <c r="P25" s="85" t="str">
        <f>"DRY"</f>
        <v>DRY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29" si="2">IF(I26="","Hide","Show")</f>
        <v>Show</v>
      </c>
      <c r="C26" s="74" t="str">
        <f>"""Ceres NTFB Live"",""NTFB Live"",""5767"",""1"",""Invt. Pick"",""2"",""ITPN-207493"",""3"",""61000"""</f>
        <v>"Ceres NTFB Live","NTFB Live","5767","1","Invt. Pick","2","ITPN-207493","3","61000"</v>
      </c>
      <c r="D26" s="89" t="str">
        <f>"02-16-01"</f>
        <v>02-16-01</v>
      </c>
      <c r="E26" s="89" t="str">
        <f>"P00188215"</f>
        <v>P00188215</v>
      </c>
      <c r="F26" s="89" t="str">
        <f>"1000003540"</f>
        <v>1000003540</v>
      </c>
      <c r="G26" s="91" t="s">
        <v>1328</v>
      </c>
      <c r="H26" s="90" t="str">
        <f>"JUICE, V8 FUSION, MANDARIN ORANGE KIWI"</f>
        <v>JUICE, V8 FUSION, MANDARIN ORANGE KIWI</v>
      </c>
      <c r="I26" s="89">
        <v>4</v>
      </c>
      <c r="J26" s="89" t="str">
        <f>"CS"</f>
        <v>CS</v>
      </c>
      <c r="K26" s="88"/>
      <c r="L26" s="87"/>
      <c r="M26" s="87"/>
      <c r="N26" s="85" t="s">
        <v>179</v>
      </c>
      <c r="O26" s="85">
        <v>80</v>
      </c>
      <c r="P26" s="85" t="str">
        <f>"DRY"</f>
        <v>DRY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2"/>
        <v>Show</v>
      </c>
      <c r="C27" s="74" t="str">
        <f>"""Ceres NTFB Live"",""NTFB Live"",""5767"",""1"",""Invt. Pick"",""2"",""ITPN-207493"",""3"",""60000"""</f>
        <v>"Ceres NTFB Live","NTFB Live","5767","1","Invt. Pick","2","ITPN-207493","3","60000"</v>
      </c>
      <c r="D27" s="89" t="str">
        <f>"02-25-01"</f>
        <v>02-25-01</v>
      </c>
      <c r="E27" s="89" t="str">
        <f>"P00160780"</f>
        <v>P00160780</v>
      </c>
      <c r="F27" s="89" t="str">
        <f>"1000002784"</f>
        <v>1000002784</v>
      </c>
      <c r="G27" s="91" t="s">
        <v>1328</v>
      </c>
      <c r="H27" s="90" t="str">
        <f>"BEVERAGE, OTG MANGO PINEAPPLE, ADVOCARE"</f>
        <v>BEVERAGE, OTG MANGO PINEAPPLE, ADVOCARE</v>
      </c>
      <c r="I27" s="89">
        <v>4</v>
      </c>
      <c r="J27" s="89" t="str">
        <f>"CS"</f>
        <v>CS</v>
      </c>
      <c r="K27" s="88"/>
      <c r="L27" s="87"/>
      <c r="M27" s="87"/>
      <c r="N27" s="85" t="s">
        <v>179</v>
      </c>
      <c r="O27" s="85">
        <v>120</v>
      </c>
      <c r="P27" s="85" t="str">
        <f>"DRY"</f>
        <v>DRY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2"/>
        <v>Show</v>
      </c>
      <c r="C28" s="74" t="str">
        <f>"""Ceres NTFB Live"",""NTFB Live"",""5767"",""1"",""Invt. Pick"",""2"",""ITPN-207492"",""3"",""20000"""</f>
        <v>"Ceres NTFB Live","NTFB Live","5767","1","Invt. Pick","2","ITPN-207492","3","20000"</v>
      </c>
      <c r="D28" s="89" t="str">
        <f>"33-01-01"</f>
        <v>33-01-01</v>
      </c>
      <c r="E28" s="89" t="str">
        <f>"P00195102"</f>
        <v>P00195102</v>
      </c>
      <c r="F28" s="89" t="str">
        <f>"1000002518"</f>
        <v>1000002518</v>
      </c>
      <c r="G28" s="91" t="s">
        <v>1329</v>
      </c>
      <c r="H28" s="90" t="str">
        <f>"USDA CORN, KERNAL, CANNED"</f>
        <v>USDA CORN, KERNAL, CANNED</v>
      </c>
      <c r="I28" s="89">
        <v>5</v>
      </c>
      <c r="J28" s="89" t="str">
        <f>"CS"</f>
        <v>CS</v>
      </c>
      <c r="K28" s="88"/>
      <c r="L28" s="87"/>
      <c r="M28" s="87"/>
      <c r="N28" s="85" t="s">
        <v>179</v>
      </c>
      <c r="O28" s="85">
        <v>140</v>
      </c>
      <c r="P28" s="85" t="str">
        <f>"DRYUSDA"</f>
        <v>DRYUSDA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si="2"/>
        <v>Show</v>
      </c>
      <c r="C29" s="74" t="str">
        <f>"""Ceres NTFB Live"",""NTFB Live"",""5767"",""1"",""Invt. Pick"",""2"",""ITPN-207492"",""3"",""40000"""</f>
        <v>"Ceres NTFB Live","NTFB Live","5767","1","Invt. Pick","2","ITPN-207492","3","40000"</v>
      </c>
      <c r="D29" s="89" t="str">
        <f>"33-04-01"</f>
        <v>33-04-01</v>
      </c>
      <c r="E29" s="89" t="str">
        <f>"P00192077"</f>
        <v>P00192077</v>
      </c>
      <c r="F29" s="89" t="str">
        <f>"1000000284"</f>
        <v>1000000284</v>
      </c>
      <c r="G29" s="91" t="s">
        <v>1329</v>
      </c>
      <c r="H29" s="90" t="str">
        <f>"USDA GREEN BEANS, CANNED"</f>
        <v>USDA GREEN BEANS, CANNED</v>
      </c>
      <c r="I29" s="89">
        <v>5</v>
      </c>
      <c r="J29" s="89" t="str">
        <f>"CS"</f>
        <v>CS</v>
      </c>
      <c r="K29" s="88"/>
      <c r="L29" s="87"/>
      <c r="M29" s="87"/>
      <c r="N29" s="85" t="s">
        <v>179</v>
      </c>
      <c r="O29" s="85">
        <v>125</v>
      </c>
      <c r="P29" s="85" t="str">
        <f>"DRYUSDA"</f>
        <v>DRYUSDA</v>
      </c>
      <c r="Q29" s="86" t="s">
        <v>56</v>
      </c>
    </row>
    <row r="30" spans="1:17" ht="15.75" thickBot="1" x14ac:dyDescent="0.3">
      <c r="B30" s="74" t="str">
        <f>B25</f>
        <v>Show</v>
      </c>
      <c r="H30" s="85"/>
      <c r="I30" s="85"/>
    </row>
    <row r="31" spans="1:17" ht="15.75" thickBot="1" x14ac:dyDescent="0.3">
      <c r="B31" s="74" t="str">
        <f>+B30</f>
        <v>Show</v>
      </c>
      <c r="D31" s="193" t="str">
        <f>+"END OF "&amp;D2</f>
        <v>END OF NEW ENCOUNTERS  (003511RY) - DRY|DRYUSDA|MCTF PICK LIST</v>
      </c>
      <c r="E31" s="194"/>
      <c r="F31" s="194"/>
      <c r="G31" s="194"/>
      <c r="H31" s="194"/>
      <c r="I31" s="194"/>
      <c r="J31" s="194"/>
      <c r="K31" s="194"/>
      <c r="L31" s="194"/>
      <c r="M31" s="195"/>
    </row>
    <row r="32" spans="1:17" ht="15.75" thickBot="1" x14ac:dyDescent="0.3"/>
    <row r="33" spans="1:16" ht="80.099999999999994" customHeight="1" thickBot="1" x14ac:dyDescent="0.3">
      <c r="A33" s="76" t="s">
        <v>30</v>
      </c>
      <c r="D33" s="166" t="str">
        <f>+F6</f>
        <v>DELIVER</v>
      </c>
      <c r="E33" s="167"/>
      <c r="F33" s="167"/>
      <c r="G33" s="167"/>
      <c r="H33" s="167"/>
      <c r="I33" s="167"/>
      <c r="J33" s="167"/>
      <c r="K33" s="167"/>
      <c r="L33" s="167"/>
      <c r="M33" s="168"/>
    </row>
    <row r="34" spans="1:16" ht="36.75" x14ac:dyDescent="0.45">
      <c r="A34" s="76" t="s">
        <v>30</v>
      </c>
      <c r="D34" s="176" t="s">
        <v>12</v>
      </c>
      <c r="E34" s="177"/>
      <c r="F34" s="196" t="str">
        <f>+F4</f>
        <v>003511RY</v>
      </c>
      <c r="G34" s="196"/>
      <c r="H34" s="196"/>
      <c r="I34" s="196"/>
      <c r="J34" s="196"/>
      <c r="K34" s="196"/>
      <c r="L34" s="196"/>
      <c r="M34" s="197"/>
    </row>
    <row r="35" spans="1:16" ht="37.5" customHeight="1" thickBot="1" x14ac:dyDescent="0.5">
      <c r="A35" s="76" t="s">
        <v>30</v>
      </c>
      <c r="D35" s="158" t="s">
        <v>5</v>
      </c>
      <c r="E35" s="159"/>
      <c r="F35" s="161" t="str">
        <f>+F5</f>
        <v>NEW ENCOUNTERS</v>
      </c>
      <c r="G35" s="161"/>
      <c r="H35" s="161"/>
      <c r="I35" s="161"/>
      <c r="J35" s="161"/>
      <c r="K35" s="161"/>
      <c r="L35" s="161"/>
      <c r="M35" s="162"/>
      <c r="N35" s="84"/>
      <c r="O35" s="84"/>
      <c r="P35" s="84"/>
    </row>
    <row r="36" spans="1:16" ht="33.75" hidden="1" thickBot="1" x14ac:dyDescent="0.45">
      <c r="A36" s="76" t="s">
        <v>19</v>
      </c>
      <c r="D36" s="172" t="s">
        <v>49</v>
      </c>
      <c r="E36" s="173"/>
      <c r="F36" s="82"/>
      <c r="G36" s="83"/>
      <c r="H36" s="82"/>
      <c r="I36" s="82"/>
      <c r="J36" s="82"/>
      <c r="K36" s="82"/>
      <c r="L36" s="82"/>
      <c r="M36" s="81"/>
    </row>
    <row r="37" spans="1:16" ht="30" hidden="1" customHeight="1" x14ac:dyDescent="0.25">
      <c r="A37" s="76" t="s">
        <v>19</v>
      </c>
      <c r="D37" s="80"/>
      <c r="E37" s="78"/>
      <c r="F37" s="174" t="s">
        <v>1319</v>
      </c>
      <c r="G37" s="174"/>
      <c r="H37" s="174"/>
      <c r="I37" s="174"/>
      <c r="J37" s="174"/>
      <c r="K37" s="174"/>
      <c r="L37" s="174"/>
      <c r="M37" s="175"/>
    </row>
    <row r="38" spans="1:16" ht="15.75" hidden="1" customHeight="1" thickBot="1" x14ac:dyDescent="0.3">
      <c r="A38" s="76" t="s">
        <v>19</v>
      </c>
      <c r="D38" s="80"/>
      <c r="E38" s="78"/>
      <c r="F38" s="78"/>
      <c r="G38" s="79"/>
      <c r="H38" s="78"/>
      <c r="I38" s="78"/>
      <c r="J38" s="78"/>
      <c r="K38" s="78"/>
      <c r="L38" s="78"/>
      <c r="M38" s="77"/>
    </row>
    <row r="39" spans="1:16" ht="36.75" x14ac:dyDescent="0.45">
      <c r="A39" s="76" t="s">
        <v>30</v>
      </c>
      <c r="D39" s="176" t="s">
        <v>50</v>
      </c>
      <c r="E39" s="177"/>
      <c r="F39" s="178">
        <f>+F7</f>
        <v>42612</v>
      </c>
      <c r="G39" s="179"/>
      <c r="H39" s="179"/>
      <c r="I39" s="179"/>
      <c r="J39" s="179"/>
      <c r="K39" s="179"/>
      <c r="L39" s="179"/>
      <c r="M39" s="180"/>
    </row>
    <row r="40" spans="1:16" ht="37.5" thickBot="1" x14ac:dyDescent="0.5">
      <c r="A40" s="76" t="s">
        <v>30</v>
      </c>
      <c r="D40" s="158" t="s">
        <v>32</v>
      </c>
      <c r="E40" s="159"/>
      <c r="F40" s="160"/>
      <c r="G40" s="161"/>
      <c r="H40" s="161"/>
      <c r="I40" s="161"/>
      <c r="J40" s="161"/>
      <c r="K40" s="161"/>
      <c r="L40" s="161"/>
      <c r="M40" s="162"/>
    </row>
    <row r="41" spans="1:16" ht="80.099999999999994" customHeight="1" thickBot="1" x14ac:dyDescent="0.3">
      <c r="A41" s="76" t="s">
        <v>30</v>
      </c>
      <c r="D41" s="163" t="s">
        <v>51</v>
      </c>
      <c r="E41" s="164"/>
      <c r="F41" s="164"/>
      <c r="G41" s="164"/>
      <c r="H41" s="164"/>
      <c r="I41" s="164"/>
      <c r="J41" s="164"/>
      <c r="K41" s="164"/>
      <c r="L41" s="164"/>
      <c r="M41" s="165"/>
    </row>
    <row r="42" spans="1:16" ht="90" customHeight="1" thickBot="1" x14ac:dyDescent="0.3">
      <c r="A42" s="76" t="s">
        <v>30</v>
      </c>
      <c r="D42" s="166" t="str">
        <f>IF(F6="DELIVER",G6,F6)</f>
        <v>NAVARRO 1</v>
      </c>
      <c r="E42" s="167"/>
      <c r="F42" s="167"/>
      <c r="G42" s="167"/>
      <c r="H42" s="167"/>
      <c r="I42" s="167"/>
      <c r="J42" s="167"/>
      <c r="K42" s="167"/>
      <c r="L42" s="167"/>
      <c r="M42" s="168"/>
    </row>
    <row r="43" spans="1:16" ht="60" customHeight="1" thickBot="1" x14ac:dyDescent="0.3">
      <c r="A43" s="76" t="s">
        <v>30</v>
      </c>
      <c r="D43" s="169" t="s">
        <v>55</v>
      </c>
      <c r="E43" s="170"/>
      <c r="F43" s="170"/>
      <c r="G43" s="170"/>
      <c r="H43" s="170"/>
      <c r="I43" s="170"/>
      <c r="J43" s="170"/>
      <c r="K43" s="170"/>
      <c r="L43" s="170"/>
      <c r="M43" s="171"/>
    </row>
  </sheetData>
  <mergeCells count="17">
    <mergeCell ref="D2:M2"/>
    <mergeCell ref="F16:M18"/>
    <mergeCell ref="D31:M31"/>
    <mergeCell ref="D33:M33"/>
    <mergeCell ref="D34:E34"/>
    <mergeCell ref="F34:M34"/>
    <mergeCell ref="D35:E35"/>
    <mergeCell ref="F35:M35"/>
    <mergeCell ref="D36:E36"/>
    <mergeCell ref="F37:M37"/>
    <mergeCell ref="D39:E39"/>
    <mergeCell ref="F39:M39"/>
    <mergeCell ref="D40:E40"/>
    <mergeCell ref="F40:M40"/>
    <mergeCell ref="D41:M41"/>
    <mergeCell ref="D42:M42"/>
    <mergeCell ref="D43:M43"/>
  </mergeCells>
  <conditionalFormatting sqref="F6">
    <cfRule type="cellIs" dxfId="429" priority="5" operator="equal">
      <formula>"DELIVER"</formula>
    </cfRule>
  </conditionalFormatting>
  <conditionalFormatting sqref="D33">
    <cfRule type="cellIs" dxfId="428" priority="4" operator="equal">
      <formula>"DELIVER"</formula>
    </cfRule>
  </conditionalFormatting>
  <conditionalFormatting sqref="D2:M2">
    <cfRule type="expression" dxfId="427" priority="3">
      <formula>$F$6="DELIVER"</formula>
    </cfRule>
  </conditionalFormatting>
  <conditionalFormatting sqref="G6">
    <cfRule type="expression" dxfId="426" priority="2">
      <formula>$F$6="DELIVER"</formula>
    </cfRule>
  </conditionalFormatting>
  <conditionalFormatting sqref="D42">
    <cfRule type="expression" dxfId="42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1" max="16383" man="1"/>
  </rowBreaks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1634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865</v>
      </c>
      <c r="E4" s="72" t="s">
        <v>37</v>
      </c>
      <c r="F4" s="72" t="s">
        <v>116</v>
      </c>
      <c r="K4" s="72" t="s">
        <v>42</v>
      </c>
      <c r="M4" s="72" t="s">
        <v>382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383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384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906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907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44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x14ac:dyDescent="0.25">
      <c r="B27" s="72" t="s">
        <v>225</v>
      </c>
    </row>
    <row r="28" spans="1:17" x14ac:dyDescent="0.25">
      <c r="B28" s="72" t="s">
        <v>385</v>
      </c>
      <c r="D28" s="72" t="s">
        <v>166</v>
      </c>
    </row>
    <row r="30" spans="1:17" x14ac:dyDescent="0.25">
      <c r="A30" s="72" t="s">
        <v>30</v>
      </c>
      <c r="D30" s="72" t="s">
        <v>167</v>
      </c>
    </row>
    <row r="31" spans="1:17" x14ac:dyDescent="0.25">
      <c r="A31" s="72" t="s">
        <v>30</v>
      </c>
      <c r="D31" s="72" t="s">
        <v>12</v>
      </c>
      <c r="F31" s="72" t="s">
        <v>168</v>
      </c>
    </row>
    <row r="32" spans="1:17" x14ac:dyDescent="0.25">
      <c r="A32" s="72" t="s">
        <v>30</v>
      </c>
      <c r="D32" s="72" t="s">
        <v>5</v>
      </c>
      <c r="F32" s="72" t="s">
        <v>169</v>
      </c>
    </row>
    <row r="33" spans="1:6" x14ac:dyDescent="0.25">
      <c r="A33" s="72" t="s">
        <v>19</v>
      </c>
      <c r="D33" s="72" t="s">
        <v>49</v>
      </c>
    </row>
    <row r="34" spans="1:6" x14ac:dyDescent="0.25">
      <c r="A34" s="72" t="s">
        <v>19</v>
      </c>
      <c r="F34" s="72" t="s">
        <v>170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1636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916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44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/>
  </sheetViews>
  <sheetFormatPr defaultRowHeight="15" x14ac:dyDescent="0.25"/>
  <sheetData>
    <row r="1" spans="1:26" x14ac:dyDescent="0.25">
      <c r="A1" s="72" t="s">
        <v>1638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815</v>
      </c>
      <c r="E4" s="72" t="s">
        <v>37</v>
      </c>
      <c r="F4" s="72" t="s">
        <v>116</v>
      </c>
      <c r="K4" s="72" t="s">
        <v>42</v>
      </c>
      <c r="M4" s="72" t="s">
        <v>714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715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716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926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927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929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931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44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534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184</v>
      </c>
      <c r="F37" s="72" t="s">
        <v>928</v>
      </c>
    </row>
    <row r="38" spans="1:6" x14ac:dyDescent="0.25">
      <c r="A38" s="72" t="s">
        <v>184</v>
      </c>
      <c r="F38" s="72" t="s">
        <v>930</v>
      </c>
    </row>
    <row r="39" spans="1:6" x14ac:dyDescent="0.25">
      <c r="A39" s="72" t="s">
        <v>19</v>
      </c>
    </row>
    <row r="40" spans="1:6" x14ac:dyDescent="0.25">
      <c r="A40" s="72" t="s">
        <v>30</v>
      </c>
      <c r="D40" s="72" t="s">
        <v>50</v>
      </c>
      <c r="F40" s="72" t="s">
        <v>171</v>
      </c>
    </row>
    <row r="41" spans="1:6" x14ac:dyDescent="0.25">
      <c r="A41" s="72" t="s">
        <v>30</v>
      </c>
      <c r="D41" s="72" t="s">
        <v>32</v>
      </c>
    </row>
    <row r="42" spans="1:6" x14ac:dyDescent="0.25">
      <c r="A42" s="72" t="s">
        <v>30</v>
      </c>
      <c r="D42" s="72" t="s">
        <v>51</v>
      </c>
    </row>
    <row r="43" spans="1:6" x14ac:dyDescent="0.25">
      <c r="A43" s="72" t="s">
        <v>30</v>
      </c>
      <c r="D43" s="72" t="s">
        <v>172</v>
      </c>
    </row>
    <row r="44" spans="1:6" x14ac:dyDescent="0.25">
      <c r="A44" s="72" t="s">
        <v>30</v>
      </c>
      <c r="D44" s="72" t="s">
        <v>55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1640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940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944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44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184</v>
      </c>
      <c r="F34" s="72" t="s">
        <v>955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workbookViewId="0"/>
  </sheetViews>
  <sheetFormatPr defaultRowHeight="15" x14ac:dyDescent="0.25"/>
  <sheetData>
    <row r="1" spans="1:26" x14ac:dyDescent="0.25">
      <c r="A1" s="72" t="s">
        <v>1645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1567</v>
      </c>
      <c r="C2" s="72" t="s">
        <v>7</v>
      </c>
      <c r="D2" s="72" t="s">
        <v>1568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884</v>
      </c>
      <c r="E4" s="72" t="s">
        <v>37</v>
      </c>
      <c r="F4" s="72" t="s">
        <v>116</v>
      </c>
      <c r="K4" s="72" t="s">
        <v>42</v>
      </c>
      <c r="M4" s="72" t="s">
        <v>1642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1643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1644</v>
      </c>
      <c r="W6" s="72" t="s">
        <v>1572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1573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1574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148</v>
      </c>
      <c r="C13" s="72" t="s">
        <v>956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149</v>
      </c>
      <c r="C14" s="72" t="s">
        <v>957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150</v>
      </c>
      <c r="C15" s="72" t="s">
        <v>959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151</v>
      </c>
      <c r="C16" s="72" t="s">
        <v>961</v>
      </c>
      <c r="E16" s="72" t="s">
        <v>571</v>
      </c>
      <c r="F16" s="72" t="s">
        <v>575</v>
      </c>
    </row>
    <row r="17" spans="1:17" x14ac:dyDescent="0.25">
      <c r="A17" s="72" t="s">
        <v>173</v>
      </c>
      <c r="B17" s="72" t="s">
        <v>152</v>
      </c>
      <c r="C17" s="72" t="s">
        <v>963</v>
      </c>
      <c r="E17" s="72" t="s">
        <v>572</v>
      </c>
      <c r="F17" s="72" t="s">
        <v>576</v>
      </c>
    </row>
    <row r="18" spans="1:17" x14ac:dyDescent="0.25">
      <c r="A18" s="72" t="s">
        <v>173</v>
      </c>
      <c r="B18" s="72" t="s">
        <v>207</v>
      </c>
      <c r="C18" s="72" t="s">
        <v>965</v>
      </c>
      <c r="E18" s="72" t="s">
        <v>573</v>
      </c>
      <c r="F18" s="72" t="s">
        <v>577</v>
      </c>
    </row>
    <row r="19" spans="1:17" x14ac:dyDescent="0.25">
      <c r="A19" s="72" t="s">
        <v>6</v>
      </c>
      <c r="B19" s="72" t="s">
        <v>148</v>
      </c>
      <c r="C19" s="72" t="s">
        <v>135</v>
      </c>
      <c r="E19" s="72" t="s">
        <v>138</v>
      </c>
      <c r="F19" s="72" t="s">
        <v>139</v>
      </c>
    </row>
    <row r="20" spans="1:17" x14ac:dyDescent="0.25">
      <c r="A20" s="72" t="s">
        <v>6</v>
      </c>
      <c r="B20" s="72" t="s">
        <v>149</v>
      </c>
      <c r="E20" s="72" t="s">
        <v>1575</v>
      </c>
      <c r="F20" s="72" t="s">
        <v>1576</v>
      </c>
    </row>
    <row r="21" spans="1:17" x14ac:dyDescent="0.25">
      <c r="B21" s="72" t="s">
        <v>150</v>
      </c>
      <c r="E21" s="72" t="s">
        <v>20</v>
      </c>
      <c r="F21" s="72" t="s">
        <v>144</v>
      </c>
    </row>
    <row r="22" spans="1:17" x14ac:dyDescent="0.25">
      <c r="B22" s="72" t="s">
        <v>151</v>
      </c>
    </row>
    <row r="23" spans="1:17" x14ac:dyDescent="0.25">
      <c r="B23" s="72" t="s">
        <v>152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33</v>
      </c>
      <c r="H25" s="72" t="s">
        <v>53</v>
      </c>
    </row>
    <row r="26" spans="1:17" x14ac:dyDescent="0.25">
      <c r="B26" s="72" t="s">
        <v>226</v>
      </c>
    </row>
    <row r="27" spans="1:17" x14ac:dyDescent="0.25">
      <c r="B27" s="72" t="s">
        <v>534</v>
      </c>
      <c r="E27" s="72" t="s">
        <v>32</v>
      </c>
      <c r="H27" s="72" t="s">
        <v>54</v>
      </c>
    </row>
    <row r="28" spans="1:17" x14ac:dyDescent="0.25">
      <c r="B28" s="72" t="s">
        <v>535</v>
      </c>
      <c r="C28" s="72" t="s">
        <v>52</v>
      </c>
      <c r="D28" s="72" t="s">
        <v>52</v>
      </c>
    </row>
    <row r="29" spans="1:17" x14ac:dyDescent="0.25">
      <c r="B29" s="72" t="s">
        <v>536</v>
      </c>
      <c r="C29" s="72" t="s">
        <v>44</v>
      </c>
      <c r="D29" s="72" t="s">
        <v>28</v>
      </c>
      <c r="E29" s="72" t="s">
        <v>26</v>
      </c>
      <c r="F29" s="72" t="s">
        <v>29</v>
      </c>
      <c r="G29" s="72" t="s">
        <v>57</v>
      </c>
      <c r="H29" s="72" t="s">
        <v>27</v>
      </c>
      <c r="I29" s="72" t="s">
        <v>25</v>
      </c>
      <c r="J29" s="72" t="s">
        <v>10</v>
      </c>
      <c r="K29" s="72" t="s">
        <v>24</v>
      </c>
      <c r="M29" s="72" t="s">
        <v>31</v>
      </c>
      <c r="N29" s="72" t="s">
        <v>21</v>
      </c>
      <c r="O29" s="72" t="s">
        <v>22</v>
      </c>
      <c r="P29" s="72" t="s">
        <v>23</v>
      </c>
    </row>
    <row r="30" spans="1:17" ht="105" x14ac:dyDescent="0.25">
      <c r="B30" s="72" t="s">
        <v>236</v>
      </c>
      <c r="C30" s="72" t="s">
        <v>1577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x14ac:dyDescent="0.25">
      <c r="B31" s="72" t="s">
        <v>536</v>
      </c>
    </row>
    <row r="32" spans="1:17" x14ac:dyDescent="0.25">
      <c r="B32" s="72" t="s">
        <v>680</v>
      </c>
      <c r="D32" s="72" t="s">
        <v>166</v>
      </c>
    </row>
    <row r="34" spans="1:6" x14ac:dyDescent="0.25">
      <c r="A34" s="72" t="s">
        <v>30</v>
      </c>
      <c r="D34" s="72" t="s">
        <v>167</v>
      </c>
    </row>
    <row r="35" spans="1:6" x14ac:dyDescent="0.25">
      <c r="A35" s="72" t="s">
        <v>30</v>
      </c>
      <c r="D35" s="72" t="s">
        <v>12</v>
      </c>
      <c r="F35" s="72" t="s">
        <v>168</v>
      </c>
    </row>
    <row r="36" spans="1:6" x14ac:dyDescent="0.25">
      <c r="A36" s="72" t="s">
        <v>30</v>
      </c>
      <c r="D36" s="72" t="s">
        <v>5</v>
      </c>
      <c r="F36" s="72" t="s">
        <v>169</v>
      </c>
    </row>
    <row r="37" spans="1:6" x14ac:dyDescent="0.25">
      <c r="A37" s="72" t="s">
        <v>19</v>
      </c>
      <c r="D37" s="72" t="s">
        <v>49</v>
      </c>
    </row>
    <row r="38" spans="1:6" x14ac:dyDescent="0.25">
      <c r="A38" s="72" t="s">
        <v>19</v>
      </c>
      <c r="F38" s="72" t="s">
        <v>170</v>
      </c>
    </row>
    <row r="39" spans="1:6" x14ac:dyDescent="0.25">
      <c r="A39" s="72" t="s">
        <v>184</v>
      </c>
      <c r="F39" s="72" t="s">
        <v>958</v>
      </c>
    </row>
    <row r="40" spans="1:6" x14ac:dyDescent="0.25">
      <c r="A40" s="72" t="s">
        <v>184</v>
      </c>
      <c r="F40" s="72" t="s">
        <v>960</v>
      </c>
    </row>
    <row r="41" spans="1:6" x14ac:dyDescent="0.25">
      <c r="A41" s="72" t="s">
        <v>184</v>
      </c>
      <c r="F41" s="72" t="s">
        <v>962</v>
      </c>
    </row>
    <row r="42" spans="1:6" x14ac:dyDescent="0.25">
      <c r="A42" s="72" t="s">
        <v>184</v>
      </c>
      <c r="F42" s="72" t="s">
        <v>964</v>
      </c>
    </row>
    <row r="43" spans="1:6" x14ac:dyDescent="0.25">
      <c r="A43" s="72" t="s">
        <v>19</v>
      </c>
    </row>
    <row r="44" spans="1:6" x14ac:dyDescent="0.25">
      <c r="A44" s="72" t="s">
        <v>30</v>
      </c>
      <c r="D44" s="72" t="s">
        <v>50</v>
      </c>
      <c r="F44" s="72" t="s">
        <v>171</v>
      </c>
    </row>
    <row r="45" spans="1:6" x14ac:dyDescent="0.25">
      <c r="A45" s="72" t="s">
        <v>30</v>
      </c>
      <c r="D45" s="72" t="s">
        <v>32</v>
      </c>
    </row>
    <row r="46" spans="1:6" x14ac:dyDescent="0.25">
      <c r="A46" s="72" t="s">
        <v>30</v>
      </c>
      <c r="D46" s="72" t="s">
        <v>51</v>
      </c>
    </row>
    <row r="47" spans="1:6" x14ac:dyDescent="0.25">
      <c r="A47" s="72" t="s">
        <v>30</v>
      </c>
      <c r="D47" s="72" t="s">
        <v>172</v>
      </c>
    </row>
    <row r="48" spans="1:6" x14ac:dyDescent="0.25">
      <c r="A48" s="72" t="s">
        <v>30</v>
      </c>
      <c r="D48" s="72" t="s">
        <v>55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1647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493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979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44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1649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809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983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44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/>
  </sheetViews>
  <sheetFormatPr defaultRowHeight="15" x14ac:dyDescent="0.25"/>
  <sheetData>
    <row r="1" spans="1:26" x14ac:dyDescent="0.25">
      <c r="A1" s="72" t="s">
        <v>1651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852</v>
      </c>
      <c r="E4" s="72" t="s">
        <v>37</v>
      </c>
      <c r="F4" s="72" t="s">
        <v>116</v>
      </c>
      <c r="K4" s="72" t="s">
        <v>42</v>
      </c>
      <c r="M4" s="72" t="s">
        <v>714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715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716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990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991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992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994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44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534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184</v>
      </c>
      <c r="F37" s="72" t="s">
        <v>993</v>
      </c>
    </row>
    <row r="38" spans="1:6" x14ac:dyDescent="0.25">
      <c r="A38" s="72" t="s">
        <v>19</v>
      </c>
    </row>
    <row r="39" spans="1:6" x14ac:dyDescent="0.25">
      <c r="A39" s="72" t="s">
        <v>30</v>
      </c>
      <c r="D39" s="72" t="s">
        <v>50</v>
      </c>
      <c r="F39" s="72" t="s">
        <v>171</v>
      </c>
    </row>
    <row r="40" spans="1:6" x14ac:dyDescent="0.25">
      <c r="A40" s="72" t="s">
        <v>30</v>
      </c>
      <c r="D40" s="72" t="s">
        <v>32</v>
      </c>
    </row>
    <row r="41" spans="1:6" x14ac:dyDescent="0.25">
      <c r="A41" s="72" t="s">
        <v>30</v>
      </c>
      <c r="D41" s="72" t="s">
        <v>51</v>
      </c>
    </row>
    <row r="42" spans="1:6" x14ac:dyDescent="0.25">
      <c r="A42" s="72" t="s">
        <v>30</v>
      </c>
      <c r="D42" s="72" t="s">
        <v>172</v>
      </c>
    </row>
    <row r="43" spans="1:6" x14ac:dyDescent="0.25">
      <c r="A43" s="72" t="s">
        <v>30</v>
      </c>
      <c r="D43" s="72" t="s">
        <v>55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1653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999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1003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44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workbookViewId="0"/>
  </sheetViews>
  <sheetFormatPr defaultRowHeight="15" x14ac:dyDescent="0.25"/>
  <sheetData>
    <row r="1" spans="1:26" x14ac:dyDescent="0.25">
      <c r="A1" s="72" t="s">
        <v>1658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1589</v>
      </c>
      <c r="C2" s="72" t="s">
        <v>7</v>
      </c>
      <c r="D2" s="72" t="s">
        <v>1590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841</v>
      </c>
      <c r="E4" s="72" t="s">
        <v>37</v>
      </c>
      <c r="F4" s="72" t="s">
        <v>116</v>
      </c>
      <c r="K4" s="72" t="s">
        <v>42</v>
      </c>
      <c r="M4" s="72" t="s">
        <v>1655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1656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1657</v>
      </c>
      <c r="W6" s="72" t="s">
        <v>1594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433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1595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152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207</v>
      </c>
      <c r="C13" s="72" t="s">
        <v>1008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225</v>
      </c>
      <c r="C14" s="72" t="s">
        <v>1009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226</v>
      </c>
      <c r="C15" s="72" t="s">
        <v>1010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534</v>
      </c>
      <c r="C16" s="72" t="s">
        <v>1011</v>
      </c>
      <c r="E16" s="72" t="s">
        <v>571</v>
      </c>
      <c r="F16" s="72" t="s">
        <v>575</v>
      </c>
    </row>
    <row r="17" spans="1:8" x14ac:dyDescent="0.25">
      <c r="A17" s="72" t="s">
        <v>173</v>
      </c>
      <c r="B17" s="72" t="s">
        <v>535</v>
      </c>
      <c r="C17" s="72" t="s">
        <v>1012</v>
      </c>
      <c r="E17" s="72" t="s">
        <v>572</v>
      </c>
      <c r="F17" s="72" t="s">
        <v>576</v>
      </c>
    </row>
    <row r="18" spans="1:8" x14ac:dyDescent="0.25">
      <c r="A18" s="72" t="s">
        <v>173</v>
      </c>
      <c r="B18" s="72" t="s">
        <v>536</v>
      </c>
      <c r="C18" s="72" t="s">
        <v>1013</v>
      </c>
      <c r="E18" s="72" t="s">
        <v>573</v>
      </c>
      <c r="F18" s="72" t="s">
        <v>577</v>
      </c>
    </row>
    <row r="19" spans="1:8" x14ac:dyDescent="0.25">
      <c r="A19" s="72" t="s">
        <v>173</v>
      </c>
      <c r="B19" s="72" t="s">
        <v>537</v>
      </c>
      <c r="C19" s="72" t="s">
        <v>1015</v>
      </c>
      <c r="E19" s="72" t="s">
        <v>574</v>
      </c>
      <c r="F19" s="72" t="s">
        <v>578</v>
      </c>
    </row>
    <row r="20" spans="1:8" x14ac:dyDescent="0.25">
      <c r="A20" s="72" t="s">
        <v>173</v>
      </c>
      <c r="B20" s="72" t="s">
        <v>710</v>
      </c>
      <c r="C20" s="72" t="s">
        <v>1017</v>
      </c>
      <c r="E20" s="72" t="s">
        <v>712</v>
      </c>
      <c r="F20" s="72" t="s">
        <v>713</v>
      </c>
    </row>
    <row r="21" spans="1:8" x14ac:dyDescent="0.25">
      <c r="A21" s="72" t="s">
        <v>173</v>
      </c>
      <c r="B21" s="72" t="s">
        <v>1014</v>
      </c>
      <c r="C21" s="72" t="s">
        <v>1019</v>
      </c>
      <c r="E21" s="72" t="s">
        <v>1028</v>
      </c>
      <c r="F21" s="72" t="s">
        <v>1031</v>
      </c>
    </row>
    <row r="22" spans="1:8" x14ac:dyDescent="0.25">
      <c r="A22" s="72" t="s">
        <v>173</v>
      </c>
      <c r="B22" s="72" t="s">
        <v>1016</v>
      </c>
      <c r="C22" s="72" t="s">
        <v>1020</v>
      </c>
      <c r="E22" s="72" t="s">
        <v>1029</v>
      </c>
      <c r="F22" s="72" t="s">
        <v>1032</v>
      </c>
    </row>
    <row r="23" spans="1:8" x14ac:dyDescent="0.25">
      <c r="A23" s="72" t="s">
        <v>173</v>
      </c>
      <c r="B23" s="72" t="s">
        <v>1018</v>
      </c>
      <c r="C23" s="72" t="s">
        <v>1021</v>
      </c>
      <c r="E23" s="72" t="s">
        <v>1030</v>
      </c>
      <c r="F23" s="72" t="s">
        <v>1033</v>
      </c>
    </row>
    <row r="24" spans="1:8" x14ac:dyDescent="0.25">
      <c r="A24" s="72" t="s">
        <v>6</v>
      </c>
      <c r="B24" s="72" t="s">
        <v>207</v>
      </c>
      <c r="C24" s="72" t="s">
        <v>135</v>
      </c>
      <c r="E24" s="72" t="s">
        <v>138</v>
      </c>
      <c r="F24" s="72" t="s">
        <v>139</v>
      </c>
    </row>
    <row r="25" spans="1:8" x14ac:dyDescent="0.25">
      <c r="A25" s="72" t="s">
        <v>6</v>
      </c>
      <c r="B25" s="72" t="s">
        <v>225</v>
      </c>
      <c r="E25" s="72" t="s">
        <v>1596</v>
      </c>
      <c r="F25" s="72" t="s">
        <v>1597</v>
      </c>
    </row>
    <row r="26" spans="1:8" x14ac:dyDescent="0.25">
      <c r="B26" s="72" t="s">
        <v>226</v>
      </c>
      <c r="E26" s="72" t="s">
        <v>20</v>
      </c>
      <c r="F26" s="72" t="s">
        <v>144</v>
      </c>
    </row>
    <row r="27" spans="1:8" x14ac:dyDescent="0.25">
      <c r="B27" s="72" t="s">
        <v>534</v>
      </c>
    </row>
    <row r="28" spans="1:8" x14ac:dyDescent="0.25">
      <c r="B28" s="72" t="s">
        <v>535</v>
      </c>
    </row>
    <row r="29" spans="1:8" x14ac:dyDescent="0.25">
      <c r="B29" s="72" t="s">
        <v>536</v>
      </c>
    </row>
    <row r="30" spans="1:8" x14ac:dyDescent="0.25">
      <c r="B30" s="72" t="s">
        <v>537</v>
      </c>
      <c r="E30" s="72" t="s">
        <v>33</v>
      </c>
      <c r="H30" s="72" t="s">
        <v>53</v>
      </c>
    </row>
    <row r="31" spans="1:8" x14ac:dyDescent="0.25">
      <c r="B31" s="72" t="s">
        <v>710</v>
      </c>
    </row>
    <row r="32" spans="1:8" x14ac:dyDescent="0.25">
      <c r="B32" s="72" t="s">
        <v>1014</v>
      </c>
      <c r="E32" s="72" t="s">
        <v>32</v>
      </c>
      <c r="H32" s="72" t="s">
        <v>54</v>
      </c>
    </row>
    <row r="33" spans="1:17" x14ac:dyDescent="0.25">
      <c r="B33" s="72" t="s">
        <v>1016</v>
      </c>
      <c r="C33" s="72" t="s">
        <v>52</v>
      </c>
      <c r="D33" s="72" t="s">
        <v>52</v>
      </c>
    </row>
    <row r="34" spans="1:17" x14ac:dyDescent="0.25">
      <c r="B34" s="72" t="s">
        <v>1018</v>
      </c>
      <c r="C34" s="72" t="s">
        <v>44</v>
      </c>
      <c r="D34" s="72" t="s">
        <v>28</v>
      </c>
      <c r="E34" s="72" t="s">
        <v>26</v>
      </c>
      <c r="F34" s="72" t="s">
        <v>29</v>
      </c>
      <c r="G34" s="72" t="s">
        <v>57</v>
      </c>
      <c r="H34" s="72" t="s">
        <v>27</v>
      </c>
      <c r="I34" s="72" t="s">
        <v>25</v>
      </c>
      <c r="J34" s="72" t="s">
        <v>10</v>
      </c>
      <c r="K34" s="72" t="s">
        <v>24</v>
      </c>
      <c r="M34" s="72" t="s">
        <v>31</v>
      </c>
      <c r="N34" s="72" t="s">
        <v>21</v>
      </c>
      <c r="O34" s="72" t="s">
        <v>22</v>
      </c>
      <c r="P34" s="72" t="s">
        <v>23</v>
      </c>
    </row>
    <row r="35" spans="1:17" ht="105" x14ac:dyDescent="0.25">
      <c r="B35" s="72" t="s">
        <v>306</v>
      </c>
      <c r="C35" s="72" t="s">
        <v>1598</v>
      </c>
      <c r="D35" s="72" t="s">
        <v>322</v>
      </c>
      <c r="E35" s="72" t="s">
        <v>330</v>
      </c>
      <c r="F35" s="72" t="s">
        <v>338</v>
      </c>
      <c r="G35" s="73" t="s">
        <v>307</v>
      </c>
      <c r="H35" s="72" t="s">
        <v>346</v>
      </c>
      <c r="I35" s="72" t="s">
        <v>354</v>
      </c>
      <c r="J35" s="72" t="s">
        <v>362</v>
      </c>
      <c r="N35" s="72" t="s">
        <v>308</v>
      </c>
      <c r="O35" s="72" t="s">
        <v>370</v>
      </c>
      <c r="P35" s="72" t="s">
        <v>378</v>
      </c>
      <c r="Q35" s="73" t="s">
        <v>56</v>
      </c>
    </row>
    <row r="36" spans="1:17" x14ac:dyDescent="0.25">
      <c r="B36" s="72" t="s">
        <v>1018</v>
      </c>
    </row>
    <row r="37" spans="1:17" x14ac:dyDescent="0.25">
      <c r="B37" s="72" t="s">
        <v>668</v>
      </c>
      <c r="D37" s="72" t="s">
        <v>166</v>
      </c>
    </row>
    <row r="39" spans="1:17" x14ac:dyDescent="0.25">
      <c r="A39" s="72" t="s">
        <v>30</v>
      </c>
      <c r="D39" s="72" t="s">
        <v>167</v>
      </c>
    </row>
    <row r="40" spans="1:17" x14ac:dyDescent="0.25">
      <c r="A40" s="72" t="s">
        <v>30</v>
      </c>
      <c r="D40" s="72" t="s">
        <v>12</v>
      </c>
      <c r="F40" s="72" t="s">
        <v>168</v>
      </c>
    </row>
    <row r="41" spans="1:17" x14ac:dyDescent="0.25">
      <c r="A41" s="72" t="s">
        <v>30</v>
      </c>
      <c r="D41" s="72" t="s">
        <v>5</v>
      </c>
      <c r="F41" s="72" t="s">
        <v>169</v>
      </c>
    </row>
    <row r="42" spans="1:17" x14ac:dyDescent="0.25">
      <c r="A42" s="72" t="s">
        <v>19</v>
      </c>
      <c r="D42" s="72" t="s">
        <v>49</v>
      </c>
    </row>
    <row r="43" spans="1:17" x14ac:dyDescent="0.25">
      <c r="A43" s="72" t="s">
        <v>19</v>
      </c>
      <c r="F43" s="72" t="s">
        <v>170</v>
      </c>
    </row>
    <row r="44" spans="1:17" x14ac:dyDescent="0.25">
      <c r="A44" s="72" t="s">
        <v>184</v>
      </c>
      <c r="F44" s="72" t="s">
        <v>1022</v>
      </c>
    </row>
    <row r="45" spans="1:17" x14ac:dyDescent="0.25">
      <c r="A45" s="72" t="s">
        <v>184</v>
      </c>
      <c r="F45" s="72" t="s">
        <v>1023</v>
      </c>
    </row>
    <row r="46" spans="1:17" x14ac:dyDescent="0.25">
      <c r="A46" s="72" t="s">
        <v>184</v>
      </c>
      <c r="F46" s="72" t="s">
        <v>1024</v>
      </c>
    </row>
    <row r="47" spans="1:17" x14ac:dyDescent="0.25">
      <c r="A47" s="72" t="s">
        <v>184</v>
      </c>
      <c r="F47" s="72" t="s">
        <v>1025</v>
      </c>
    </row>
    <row r="48" spans="1:17" x14ac:dyDescent="0.25">
      <c r="A48" s="72" t="s">
        <v>184</v>
      </c>
      <c r="F48" s="72" t="s">
        <v>1026</v>
      </c>
    </row>
    <row r="49" spans="1:6" x14ac:dyDescent="0.25">
      <c r="A49" s="72" t="s">
        <v>184</v>
      </c>
      <c r="F49" s="72" t="s">
        <v>1027</v>
      </c>
    </row>
    <row r="50" spans="1:6" x14ac:dyDescent="0.25">
      <c r="A50" s="72" t="s">
        <v>19</v>
      </c>
    </row>
    <row r="51" spans="1:6" x14ac:dyDescent="0.25">
      <c r="A51" s="72" t="s">
        <v>30</v>
      </c>
      <c r="D51" s="72" t="s">
        <v>50</v>
      </c>
      <c r="F51" s="72" t="s">
        <v>171</v>
      </c>
    </row>
    <row r="52" spans="1:6" x14ac:dyDescent="0.25">
      <c r="A52" s="72" t="s">
        <v>30</v>
      </c>
      <c r="D52" s="72" t="s">
        <v>32</v>
      </c>
    </row>
    <row r="53" spans="1:6" x14ac:dyDescent="0.25">
      <c r="A53" s="72" t="s">
        <v>30</v>
      </c>
      <c r="D53" s="72" t="s">
        <v>51</v>
      </c>
    </row>
    <row r="54" spans="1:6" x14ac:dyDescent="0.25">
      <c r="A54" s="72" t="s">
        <v>30</v>
      </c>
      <c r="D54" s="72" t="s">
        <v>172</v>
      </c>
    </row>
    <row r="55" spans="1:6" x14ac:dyDescent="0.25">
      <c r="A55" s="72" t="s">
        <v>30</v>
      </c>
      <c r="D55" s="72" t="s">
        <v>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1588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IF(F35="","HIDESHEET","")</f>
        <v/>
      </c>
      <c r="C2" s="74" t="s">
        <v>7</v>
      </c>
      <c r="D2" s="181" t="str">
        <f>IF(E35="",F5&amp;"  ("&amp;F4&amp;") - NO "&amp;C34,F5&amp;"  ("&amp;F4&amp;") - "&amp;C34&amp;" PICK LIST")</f>
        <v>ESTATES AT GRAND PRAIRIE INC.  (003549RA)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"003549RA"</f>
        <v>003549RA</v>
      </c>
      <c r="E4" s="101" t="s">
        <v>37</v>
      </c>
      <c r="F4" s="105" t="str">
        <f>C4</f>
        <v>003549RA</v>
      </c>
      <c r="K4" s="101" t="s">
        <v>42</v>
      </c>
      <c r="L4" s="104"/>
      <c r="M4" s="111">
        <f>SUM(I35:I41)</f>
        <v>16</v>
      </c>
    </row>
    <row r="5" spans="1:26" ht="18" customHeight="1" x14ac:dyDescent="0.25">
      <c r="B5" s="76" t="str">
        <f t="shared" si="0"/>
        <v>Show</v>
      </c>
      <c r="C5" s="109" t="s">
        <v>1331</v>
      </c>
      <c r="E5" s="101" t="s">
        <v>36</v>
      </c>
      <c r="F5" s="112" t="s">
        <v>1188</v>
      </c>
      <c r="K5" s="101" t="s">
        <v>43</v>
      </c>
      <c r="L5" s="104"/>
      <c r="M5" s="111">
        <f>ROUND(SUM(O35:O41),0)</f>
        <v>236</v>
      </c>
    </row>
    <row r="6" spans="1:26" ht="18" customHeight="1" x14ac:dyDescent="0.25">
      <c r="B6" s="76" t="str">
        <f t="shared" si="0"/>
        <v>Show</v>
      </c>
      <c r="C6" s="109" t="s">
        <v>1332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ROUND(COUNT(O35:O41),0)</f>
        <v>6</v>
      </c>
      <c r="P6" s="101"/>
      <c r="W6" s="101" t="str">
        <f>"ESTIMATED "&amp;O34&amp;"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E25</f>
        <v>A107954|A107954|A107954|A108008|A108008|A108008|A108230|A108259|A108259|A108336|A108418|A108435|A107954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F25</f>
        <v>ITPN-207433|ITPN-207434|ITPN-207435|ITPN-207437|ITPN-207439|ITPN-207440|ITPN-207454|ITPN-207463|ITPN-207464|ITPN-207469|ITPN-207503|ITPN-207504|ITPN-207433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B24</f>
        <v>Show</v>
      </c>
      <c r="C12" s="74" t="s">
        <v>1333</v>
      </c>
      <c r="E12" s="74" t="str">
        <f>"A107954"</f>
        <v>A107954</v>
      </c>
      <c r="F12" s="74" t="str">
        <f>"ITPN-207433"</f>
        <v>ITPN-207433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23" si="1">B25</f>
        <v>Show</v>
      </c>
      <c r="C13" s="74" t="str">
        <f>"""Ceres NTFB Live"",""NTFB Live"",""5766"",""1"",""Invt. Pick"",""2"",""ITPN-207434"""</f>
        <v>"Ceres NTFB Live","NTFB Live","5766","1","Invt. Pick","2","ITPN-207434"</v>
      </c>
      <c r="E13" s="74" t="str">
        <f>"A107954"</f>
        <v>A107954</v>
      </c>
      <c r="F13" s="74" t="str">
        <f>"ITPN-207434"</f>
        <v>ITPN-207434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Pick"",""2"",""ITPN-207435"""</f>
        <v>"Ceres NTFB Live","NTFB Live","5766","1","Invt. Pick","2","ITPN-207435"</v>
      </c>
      <c r="E14" s="74" t="str">
        <f>"A107954"</f>
        <v>A107954</v>
      </c>
      <c r="F14" s="74" t="str">
        <f>"ITPN-207435"</f>
        <v>ITPN-207435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173</v>
      </c>
      <c r="B15" s="76" t="str">
        <f t="shared" si="1"/>
        <v>Show</v>
      </c>
      <c r="C15" s="74" t="str">
        <f>"""Ceres NTFB Live"",""NTFB Live"",""5766"",""1"",""Invt. Pick"",""2"",""ITPN-207437"""</f>
        <v>"Ceres NTFB Live","NTFB Live","5766","1","Invt. Pick","2","ITPN-207437"</v>
      </c>
      <c r="E15" s="74" t="str">
        <f>"A108008"</f>
        <v>A108008</v>
      </c>
      <c r="F15" s="74" t="str">
        <f>"ITPN-207437"</f>
        <v>ITPN-207437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173</v>
      </c>
      <c r="B16" s="76" t="str">
        <f t="shared" si="1"/>
        <v>Show</v>
      </c>
      <c r="C16" s="74" t="str">
        <f>"""Ceres NTFB Live"",""NTFB Live"",""5766"",""1"",""Invt. Pick"",""2"",""ITPN-207439"""</f>
        <v>"Ceres NTFB Live","NTFB Live","5766","1","Invt. Pick","2","ITPN-207439"</v>
      </c>
      <c r="E16" s="74" t="str">
        <f>"A108008"</f>
        <v>A108008</v>
      </c>
      <c r="F16" s="74" t="str">
        <f>"ITPN-207439"</f>
        <v>ITPN-207439</v>
      </c>
      <c r="I16" s="98"/>
      <c r="J16" s="98"/>
      <c r="K16" s="98"/>
      <c r="L16" s="98"/>
      <c r="M16" s="98"/>
    </row>
    <row r="17" spans="1:13" ht="15.75" hidden="1" thickBot="1" x14ac:dyDescent="0.3">
      <c r="A17" s="74" t="s">
        <v>173</v>
      </c>
      <c r="B17" s="76" t="str">
        <f t="shared" si="1"/>
        <v>Show</v>
      </c>
      <c r="C17" s="74" t="str">
        <f>"""Ceres NTFB Live"",""NTFB Live"",""5766"",""1"",""Invt. Pick"",""2"",""ITPN-207440"""</f>
        <v>"Ceres NTFB Live","NTFB Live","5766","1","Invt. Pick","2","ITPN-207440"</v>
      </c>
      <c r="E17" s="74" t="str">
        <f>"A108008"</f>
        <v>A108008</v>
      </c>
      <c r="F17" s="74" t="str">
        <f>"ITPN-207440"</f>
        <v>ITPN-207440</v>
      </c>
      <c r="I17" s="98"/>
      <c r="J17" s="98"/>
      <c r="K17" s="98"/>
      <c r="L17" s="98"/>
      <c r="M17" s="98"/>
    </row>
    <row r="18" spans="1:13" ht="15.75" hidden="1" thickBot="1" x14ac:dyDescent="0.3">
      <c r="A18" s="74" t="s">
        <v>173</v>
      </c>
      <c r="B18" s="76" t="str">
        <f t="shared" si="1"/>
        <v>Show</v>
      </c>
      <c r="C18" s="74" t="str">
        <f>"""Ceres NTFB Live"",""NTFB Live"",""5766"",""1"",""Invt. Pick"",""2"",""ITPN-207454"""</f>
        <v>"Ceres NTFB Live","NTFB Live","5766","1","Invt. Pick","2","ITPN-207454"</v>
      </c>
      <c r="E18" s="74" t="str">
        <f>"A108230"</f>
        <v>A108230</v>
      </c>
      <c r="F18" s="74" t="str">
        <f>"ITPN-207454"</f>
        <v>ITPN-207454</v>
      </c>
      <c r="I18" s="98"/>
      <c r="J18" s="98"/>
      <c r="K18" s="98"/>
      <c r="L18" s="98"/>
      <c r="M18" s="98"/>
    </row>
    <row r="19" spans="1:13" ht="15.75" hidden="1" thickBot="1" x14ac:dyDescent="0.3">
      <c r="A19" s="74" t="s">
        <v>173</v>
      </c>
      <c r="B19" s="76" t="str">
        <f t="shared" si="1"/>
        <v>Show</v>
      </c>
      <c r="C19" s="74" t="str">
        <f>"""Ceres NTFB Live"",""NTFB Live"",""5766"",""1"",""Invt. Pick"",""2"",""ITPN-207463"""</f>
        <v>"Ceres NTFB Live","NTFB Live","5766","1","Invt. Pick","2","ITPN-207463"</v>
      </c>
      <c r="E19" s="74" t="str">
        <f>"A108259"</f>
        <v>A108259</v>
      </c>
      <c r="F19" s="74" t="str">
        <f>"ITPN-207463"</f>
        <v>ITPN-207463</v>
      </c>
      <c r="I19" s="98"/>
      <c r="J19" s="98"/>
      <c r="K19" s="98"/>
      <c r="L19" s="98"/>
      <c r="M19" s="98"/>
    </row>
    <row r="20" spans="1:13" ht="15.75" hidden="1" thickBot="1" x14ac:dyDescent="0.3">
      <c r="A20" s="74" t="s">
        <v>173</v>
      </c>
      <c r="B20" s="76" t="str">
        <f t="shared" si="1"/>
        <v>Show</v>
      </c>
      <c r="C20" s="74" t="str">
        <f>"""Ceres NTFB Live"",""NTFB Live"",""5766"",""1"",""Invt. Pick"",""2"",""ITPN-207464"""</f>
        <v>"Ceres NTFB Live","NTFB Live","5766","1","Invt. Pick","2","ITPN-207464"</v>
      </c>
      <c r="E20" s="74" t="str">
        <f>"A108259"</f>
        <v>A108259</v>
      </c>
      <c r="F20" s="74" t="str">
        <f>"ITPN-207464"</f>
        <v>ITPN-207464</v>
      </c>
      <c r="I20" s="98"/>
      <c r="J20" s="98"/>
      <c r="K20" s="98"/>
      <c r="L20" s="98"/>
      <c r="M20" s="98"/>
    </row>
    <row r="21" spans="1:13" ht="15.75" hidden="1" thickBot="1" x14ac:dyDescent="0.3">
      <c r="A21" s="74" t="s">
        <v>173</v>
      </c>
      <c r="B21" s="76" t="str">
        <f t="shared" si="1"/>
        <v>Show</v>
      </c>
      <c r="C21" s="74" t="str">
        <f>"""Ceres NTFB Live"",""NTFB Live"",""5766"",""1"",""Invt. Pick"",""2"",""ITPN-207469"""</f>
        <v>"Ceres NTFB Live","NTFB Live","5766","1","Invt. Pick","2","ITPN-207469"</v>
      </c>
      <c r="E21" s="74" t="str">
        <f>"A108336"</f>
        <v>A108336</v>
      </c>
      <c r="F21" s="74" t="str">
        <f>"ITPN-207469"</f>
        <v>ITPN-207469</v>
      </c>
      <c r="I21" s="98"/>
      <c r="J21" s="98"/>
      <c r="K21" s="98"/>
      <c r="L21" s="98"/>
      <c r="M21" s="98"/>
    </row>
    <row r="22" spans="1:13" ht="15.75" hidden="1" thickBot="1" x14ac:dyDescent="0.3">
      <c r="A22" s="74" t="s">
        <v>173</v>
      </c>
      <c r="B22" s="76" t="str">
        <f t="shared" si="1"/>
        <v>Show</v>
      </c>
      <c r="C22" s="74" t="str">
        <f>"""Ceres NTFB Live"",""NTFB Live"",""5766"",""1"",""Invt. Pick"",""2"",""ITPN-207503"""</f>
        <v>"Ceres NTFB Live","NTFB Live","5766","1","Invt. Pick","2","ITPN-207503"</v>
      </c>
      <c r="E22" s="74" t="str">
        <f>"A108418"</f>
        <v>A108418</v>
      </c>
      <c r="F22" s="74" t="str">
        <f>"ITPN-207503"</f>
        <v>ITPN-207503</v>
      </c>
      <c r="I22" s="98"/>
      <c r="J22" s="98"/>
      <c r="K22" s="98"/>
      <c r="L22" s="98"/>
      <c r="M22" s="98"/>
    </row>
    <row r="23" spans="1:13" ht="15.75" hidden="1" thickBot="1" x14ac:dyDescent="0.3">
      <c r="A23" s="74" t="s">
        <v>173</v>
      </c>
      <c r="B23" s="76" t="str">
        <f t="shared" si="1"/>
        <v>Show</v>
      </c>
      <c r="C23" s="74" t="str">
        <f>"""Ceres NTFB Live"",""NTFB Live"",""5766"",""1"",""Invt. Pick"",""2"",""ITPN-207504"""</f>
        <v>"Ceres NTFB Live","NTFB Live","5766","1","Invt. Pick","2","ITPN-207504"</v>
      </c>
      <c r="E23" s="74" t="str">
        <f>"A108435"</f>
        <v>A108435</v>
      </c>
      <c r="F23" s="74" t="str">
        <f>"ITPN-207504"</f>
        <v>ITPN-207504</v>
      </c>
      <c r="I23" s="98"/>
      <c r="J23" s="98"/>
      <c r="K23" s="98"/>
      <c r="L23" s="98"/>
      <c r="M23" s="98"/>
    </row>
    <row r="24" spans="1:13" ht="15.75" hidden="1" thickBot="1" x14ac:dyDescent="0.3">
      <c r="A24" s="74" t="s">
        <v>6</v>
      </c>
      <c r="B24" s="76" t="str">
        <f t="shared" ref="B24:B34" si="2">B25</f>
        <v>Show</v>
      </c>
      <c r="C24" s="74" t="s">
        <v>1334</v>
      </c>
      <c r="E24" s="74" t="str">
        <f>E12</f>
        <v>A107954</v>
      </c>
      <c r="F24" s="74" t="str">
        <f>F12</f>
        <v>ITPN-207433</v>
      </c>
      <c r="I24" s="98"/>
      <c r="J24" s="98"/>
      <c r="K24" s="98"/>
      <c r="L24" s="98"/>
      <c r="M24" s="98"/>
    </row>
    <row r="25" spans="1:13" ht="15.75" hidden="1" thickBot="1" x14ac:dyDescent="0.3">
      <c r="A25" s="74" t="s">
        <v>6</v>
      </c>
      <c r="B25" s="76" t="str">
        <f t="shared" si="2"/>
        <v>Show</v>
      </c>
      <c r="E25" s="92" t="s">
        <v>1795</v>
      </c>
      <c r="F25" s="92" t="s">
        <v>1794</v>
      </c>
      <c r="I25" s="98"/>
      <c r="J25" s="98"/>
      <c r="K25" s="98"/>
      <c r="L25" s="98"/>
      <c r="M25" s="98"/>
    </row>
    <row r="26" spans="1:13" x14ac:dyDescent="0.25">
      <c r="B26" s="76" t="str">
        <f t="shared" si="2"/>
        <v>Show</v>
      </c>
      <c r="E26" s="101" t="s">
        <v>20</v>
      </c>
      <c r="F26" s="184" t="s">
        <v>179</v>
      </c>
      <c r="G26" s="185"/>
      <c r="H26" s="185"/>
      <c r="I26" s="185"/>
      <c r="J26" s="185"/>
      <c r="K26" s="185"/>
      <c r="L26" s="185"/>
      <c r="M26" s="186"/>
    </row>
    <row r="27" spans="1:13" x14ac:dyDescent="0.25">
      <c r="B27" s="76" t="str">
        <f t="shared" si="2"/>
        <v>Show</v>
      </c>
      <c r="F27" s="187"/>
      <c r="G27" s="188"/>
      <c r="H27" s="188"/>
      <c r="I27" s="188"/>
      <c r="J27" s="188"/>
      <c r="K27" s="188"/>
      <c r="L27" s="188"/>
      <c r="M27" s="189"/>
    </row>
    <row r="28" spans="1:13" ht="15.75" thickBot="1" x14ac:dyDescent="0.3">
      <c r="B28" s="76" t="str">
        <f t="shared" si="2"/>
        <v>Show</v>
      </c>
      <c r="F28" s="190"/>
      <c r="G28" s="191"/>
      <c r="H28" s="191"/>
      <c r="I28" s="191"/>
      <c r="J28" s="191"/>
      <c r="K28" s="191"/>
      <c r="L28" s="191"/>
      <c r="M28" s="192"/>
    </row>
    <row r="29" spans="1:13" x14ac:dyDescent="0.25">
      <c r="B29" s="76" t="str">
        <f t="shared" si="2"/>
        <v>Show</v>
      </c>
    </row>
    <row r="30" spans="1:13" x14ac:dyDescent="0.25">
      <c r="B30" s="76" t="str">
        <f t="shared" si="2"/>
        <v>Show</v>
      </c>
      <c r="E30" s="101" t="s">
        <v>33</v>
      </c>
      <c r="F30" s="100"/>
      <c r="G30" s="102"/>
      <c r="H30" s="101" t="s">
        <v>53</v>
      </c>
      <c r="I30" s="100"/>
      <c r="J30" s="100"/>
      <c r="K30" s="100"/>
    </row>
    <row r="31" spans="1:13" x14ac:dyDescent="0.25">
      <c r="B31" s="76" t="str">
        <f t="shared" si="2"/>
        <v>Show</v>
      </c>
      <c r="E31" s="101"/>
    </row>
    <row r="32" spans="1:13" x14ac:dyDescent="0.25">
      <c r="B32" s="76" t="str">
        <f t="shared" si="2"/>
        <v>Show</v>
      </c>
      <c r="E32" s="101" t="s">
        <v>32</v>
      </c>
      <c r="F32" s="100"/>
      <c r="G32" s="102"/>
      <c r="H32" s="101" t="s">
        <v>54</v>
      </c>
      <c r="I32" s="100"/>
      <c r="J32" s="100"/>
      <c r="K32" s="100"/>
    </row>
    <row r="33" spans="1:17" x14ac:dyDescent="0.25">
      <c r="B33" s="76" t="str">
        <f t="shared" si="2"/>
        <v>Show</v>
      </c>
      <c r="C33" s="74" t="s">
        <v>52</v>
      </c>
      <c r="D33" s="74" t="s">
        <v>52</v>
      </c>
      <c r="F33" s="99"/>
      <c r="I33" s="98"/>
      <c r="J33" s="98"/>
      <c r="K33" s="98"/>
      <c r="L33" s="98"/>
      <c r="M33" s="98"/>
    </row>
    <row r="34" spans="1:17" s="75" customFormat="1" ht="15.95" customHeight="1" x14ac:dyDescent="0.25">
      <c r="A34" s="97"/>
      <c r="B34" s="76" t="str">
        <f t="shared" si="2"/>
        <v>Show</v>
      </c>
      <c r="C34" s="96" t="s">
        <v>79</v>
      </c>
      <c r="D34" s="94" t="s">
        <v>28</v>
      </c>
      <c r="E34" s="94" t="s">
        <v>26</v>
      </c>
      <c r="F34" s="94" t="s">
        <v>29</v>
      </c>
      <c r="G34" s="94" t="s">
        <v>57</v>
      </c>
      <c r="H34" s="94" t="s">
        <v>27</v>
      </c>
      <c r="I34" s="94" t="s">
        <v>25</v>
      </c>
      <c r="J34" s="94" t="s">
        <v>10</v>
      </c>
      <c r="K34" s="94" t="s">
        <v>24</v>
      </c>
      <c r="L34" s="95"/>
      <c r="M34" s="94" t="s">
        <v>31</v>
      </c>
      <c r="N34" s="93" t="s">
        <v>21</v>
      </c>
      <c r="O34" s="93" t="s">
        <v>22</v>
      </c>
      <c r="P34" s="93" t="s">
        <v>23</v>
      </c>
      <c r="Q34" s="93"/>
    </row>
    <row r="35" spans="1:17" ht="24.95" customHeight="1" x14ac:dyDescent="0.25">
      <c r="B35" s="92" t="str">
        <f>IF(I35="","Hide","Show")</f>
        <v>Show</v>
      </c>
      <c r="C35" s="74" t="s">
        <v>1816</v>
      </c>
      <c r="D35" s="89" t="str">
        <f>"02-15-01"</f>
        <v>02-15-01</v>
      </c>
      <c r="E35" s="89" t="str">
        <f>"P00193974"</f>
        <v>P00193974</v>
      </c>
      <c r="F35" s="89" t="str">
        <f>"1000003682"</f>
        <v>1000003682</v>
      </c>
      <c r="G35" s="91" t="s">
        <v>1810</v>
      </c>
      <c r="H35" s="90" t="str">
        <f>"WATER, DASANI, LEMON FLAVORED"</f>
        <v>WATER, DASANI, LEMON FLAVORED</v>
      </c>
      <c r="I35" s="89">
        <v>2</v>
      </c>
      <c r="J35" s="89" t="str">
        <f t="shared" ref="J35:J40" si="3">"CS"</f>
        <v>CS</v>
      </c>
      <c r="K35" s="88"/>
      <c r="L35" s="87"/>
      <c r="M35" s="87"/>
      <c r="N35" s="85" t="s">
        <v>179</v>
      </c>
      <c r="O35" s="85">
        <v>64</v>
      </c>
      <c r="P35" s="85" t="str">
        <f>"DRY"</f>
        <v>DRY</v>
      </c>
      <c r="Q35" s="86" t="s">
        <v>56</v>
      </c>
    </row>
    <row r="36" spans="1:17" ht="24.95" customHeight="1" x14ac:dyDescent="0.25">
      <c r="A36" s="74" t="s">
        <v>174</v>
      </c>
      <c r="B36" s="92" t="str">
        <f t="shared" ref="B36:B40" si="4">IF(I36="","Hide","Show")</f>
        <v>Show</v>
      </c>
      <c r="C36" s="74" t="str">
        <f>"""Ceres NTFB Live"",""NTFB Live"",""5767"",""1"",""Invt. Pick"",""2"",""ITPN-207437"",""3"",""20000"""</f>
        <v>"Ceres NTFB Live","NTFB Live","5767","1","Invt. Pick","2","ITPN-207437","3","20000"</v>
      </c>
      <c r="D36" s="89" t="str">
        <f>"02-17-01"</f>
        <v>02-17-01</v>
      </c>
      <c r="E36" s="89" t="str">
        <f>"P00195088"</f>
        <v>P00195088</v>
      </c>
      <c r="F36" s="89" t="str">
        <f>"1000003704"</f>
        <v>1000003704</v>
      </c>
      <c r="G36" s="91" t="s">
        <v>1811</v>
      </c>
      <c r="H36" s="90" t="str">
        <f>"BARBECUE SAUCE, BABY RAYS, HONEY"</f>
        <v>BARBECUE SAUCE, BABY RAYS, HONEY</v>
      </c>
      <c r="I36" s="89">
        <v>2</v>
      </c>
      <c r="J36" s="89" t="str">
        <f t="shared" si="3"/>
        <v>CS</v>
      </c>
      <c r="K36" s="88"/>
      <c r="L36" s="87"/>
      <c r="M36" s="87"/>
      <c r="N36" s="85" t="s">
        <v>179</v>
      </c>
      <c r="O36" s="85">
        <v>46</v>
      </c>
      <c r="P36" s="85" t="str">
        <f>"DRY"</f>
        <v>DRY</v>
      </c>
      <c r="Q36" s="86" t="s">
        <v>56</v>
      </c>
    </row>
    <row r="37" spans="1:17" ht="24.95" customHeight="1" x14ac:dyDescent="0.25">
      <c r="A37" s="74" t="s">
        <v>174</v>
      </c>
      <c r="B37" s="92" t="str">
        <f t="shared" si="4"/>
        <v>Show</v>
      </c>
      <c r="C37" s="74" t="str">
        <f>"""Ceres NTFB Live"",""NTFB Live"",""5767"",""1"",""Invt. Pick"",""2"",""ITPN-207435"",""3"",""40000"""</f>
        <v>"Ceres NTFB Live","NTFB Live","5767","1","Invt. Pick","2","ITPN-207435","3","40000"</v>
      </c>
      <c r="D37" s="89" t="str">
        <f>"03-05-01"</f>
        <v>03-05-01</v>
      </c>
      <c r="E37" s="89" t="str">
        <f>"P00181380"</f>
        <v>P00181380</v>
      </c>
      <c r="F37" s="89" t="str">
        <f>"1000003386"</f>
        <v>1000003386</v>
      </c>
      <c r="G37" s="91" t="s">
        <v>1812</v>
      </c>
      <c r="H37" s="90" t="str">
        <f>"PIMIENTOS, SLICED"</f>
        <v>PIMIENTOS, SLICED</v>
      </c>
      <c r="I37" s="89">
        <v>2</v>
      </c>
      <c r="J37" s="89" t="str">
        <f t="shared" si="3"/>
        <v>CS</v>
      </c>
      <c r="K37" s="88"/>
      <c r="L37" s="87"/>
      <c r="M37" s="87"/>
      <c r="N37" s="85" t="s">
        <v>179</v>
      </c>
      <c r="O37" s="85">
        <v>24</v>
      </c>
      <c r="P37" s="85" t="str">
        <f>"DRY"</f>
        <v>DRY</v>
      </c>
      <c r="Q37" s="86" t="s">
        <v>56</v>
      </c>
    </row>
    <row r="38" spans="1:17" ht="24.95" customHeight="1" x14ac:dyDescent="0.25">
      <c r="A38" s="74" t="s">
        <v>174</v>
      </c>
      <c r="B38" s="92" t="str">
        <f t="shared" si="4"/>
        <v>Show</v>
      </c>
      <c r="C38" s="74" t="str">
        <f>"""Ceres NTFB Live"",""NTFB Live"",""5767"",""1"",""Invt. Pick"",""2"",""ITPN-207464"",""3"",""31000"""</f>
        <v>"Ceres NTFB Live","NTFB Live","5767","1","Invt. Pick","2","ITPN-207464","3","31000"</v>
      </c>
      <c r="D38" s="89" t="str">
        <f>"04-04-01"</f>
        <v>04-04-01</v>
      </c>
      <c r="E38" s="89" t="str">
        <f>"P00195090"</f>
        <v>P00195090</v>
      </c>
      <c r="F38" s="89" t="str">
        <f>"1000003163"</f>
        <v>1000003163</v>
      </c>
      <c r="G38" s="91" t="s">
        <v>1813</v>
      </c>
      <c r="H38" s="90" t="str">
        <f>"CEREAL, HONEY BUNCHES OF OATS, ALMONDS"</f>
        <v>CEREAL, HONEY BUNCHES OF OATS, ALMONDS</v>
      </c>
      <c r="I38" s="89">
        <v>2</v>
      </c>
      <c r="J38" s="89" t="str">
        <f t="shared" si="3"/>
        <v>CS</v>
      </c>
      <c r="K38" s="88"/>
      <c r="L38" s="87"/>
      <c r="M38" s="87"/>
      <c r="N38" s="85" t="s">
        <v>179</v>
      </c>
      <c r="O38" s="85">
        <v>6</v>
      </c>
      <c r="P38" s="85" t="str">
        <f>"DRY"</f>
        <v>DRY</v>
      </c>
      <c r="Q38" s="86" t="s">
        <v>56</v>
      </c>
    </row>
    <row r="39" spans="1:17" ht="24.95" customHeight="1" x14ac:dyDescent="0.25">
      <c r="A39" s="74" t="s">
        <v>174</v>
      </c>
      <c r="B39" s="92" t="str">
        <f t="shared" si="4"/>
        <v>Show</v>
      </c>
      <c r="C39" s="74" t="str">
        <f>"""Ceres NTFB Live"",""NTFB Live"",""5767"",""1"",""Invt. Pick"",""2"",""ITPN-207439"",""3"",""31000"""</f>
        <v>"Ceres NTFB Live","NTFB Live","5767","1","Invt. Pick","2","ITPN-207439","3","31000"</v>
      </c>
      <c r="D39" s="89" t="str">
        <f>"35-01-01"</f>
        <v>35-01-01</v>
      </c>
      <c r="E39" s="89" t="str">
        <f>"P00154868"</f>
        <v>P00154868</v>
      </c>
      <c r="F39" s="89" t="str">
        <f>"1000002827"</f>
        <v>1000002827</v>
      </c>
      <c r="G39" s="91" t="s">
        <v>1814</v>
      </c>
      <c r="H39" s="90" t="str">
        <f>"USDA JUICE, CRANBERRY COCKTAIL CONCENTRATE"</f>
        <v>USDA JUICE, CRANBERRY COCKTAIL CONCENTRATE</v>
      </c>
      <c r="I39" s="89">
        <v>4</v>
      </c>
      <c r="J39" s="89" t="str">
        <f t="shared" si="3"/>
        <v>CS</v>
      </c>
      <c r="K39" s="88"/>
      <c r="L39" s="87"/>
      <c r="M39" s="87"/>
      <c r="N39" s="85" t="s">
        <v>179</v>
      </c>
      <c r="O39" s="85">
        <v>48</v>
      </c>
      <c r="P39" s="85" t="str">
        <f>"DRYUSDA"</f>
        <v>DRYUSDA</v>
      </c>
      <c r="Q39" s="86" t="s">
        <v>56</v>
      </c>
    </row>
    <row r="40" spans="1:17" ht="24.95" customHeight="1" x14ac:dyDescent="0.25">
      <c r="A40" s="74" t="s">
        <v>174</v>
      </c>
      <c r="B40" s="92" t="str">
        <f t="shared" si="4"/>
        <v>Show</v>
      </c>
      <c r="C40" s="74" t="str">
        <f>"""Ceres NTFB Live"",""NTFB Live"",""5767"",""1"",""Invt. Pick"",""2"",""ITPN-207454"",""3"",""20000"""</f>
        <v>"Ceres NTFB Live","NTFB Live","5767","1","Invt. Pick","2","ITPN-207454","3","20000"</v>
      </c>
      <c r="D40" s="89" t="str">
        <f>"35-01-01"</f>
        <v>35-01-01</v>
      </c>
      <c r="E40" s="89" t="str">
        <f>"P00154868"</f>
        <v>P00154868</v>
      </c>
      <c r="F40" s="89" t="str">
        <f>"1000002827"</f>
        <v>1000002827</v>
      </c>
      <c r="G40" s="91" t="s">
        <v>1815</v>
      </c>
      <c r="H40" s="90" t="str">
        <f>"USDA JUICE, CRANBERRY COCKTAIL CONCENTRATE"</f>
        <v>USDA JUICE, CRANBERRY COCKTAIL CONCENTRATE</v>
      </c>
      <c r="I40" s="89">
        <v>4</v>
      </c>
      <c r="J40" s="89" t="str">
        <f t="shared" si="3"/>
        <v>CS</v>
      </c>
      <c r="K40" s="88"/>
      <c r="L40" s="87"/>
      <c r="M40" s="87"/>
      <c r="N40" s="85" t="s">
        <v>179</v>
      </c>
      <c r="O40" s="85">
        <v>48</v>
      </c>
      <c r="P40" s="85" t="str">
        <f>"DRYUSDA"</f>
        <v>DRYUSDA</v>
      </c>
      <c r="Q40" s="86" t="s">
        <v>56</v>
      </c>
    </row>
    <row r="41" spans="1:17" ht="15.75" thickBot="1" x14ac:dyDescent="0.3">
      <c r="B41" s="74" t="str">
        <f>B35</f>
        <v>Show</v>
      </c>
      <c r="H41" s="85"/>
      <c r="I41" s="85"/>
    </row>
    <row r="42" spans="1:17" ht="15.75" thickBot="1" x14ac:dyDescent="0.3">
      <c r="B42" s="74" t="str">
        <f>+B41</f>
        <v>Show</v>
      </c>
      <c r="D42" s="193" t="str">
        <f>+"END OF "&amp;D2</f>
        <v>END OF ESTATES AT GRAND PRAIRIE INC.  (003549RA) - DRY|DRYUSDA|MCTF PICK LIST</v>
      </c>
      <c r="E42" s="194"/>
      <c r="F42" s="194"/>
      <c r="G42" s="194"/>
      <c r="H42" s="194"/>
      <c r="I42" s="194"/>
      <c r="J42" s="194"/>
      <c r="K42" s="194"/>
      <c r="L42" s="194"/>
      <c r="M42" s="195"/>
    </row>
    <row r="43" spans="1:17" ht="15.75" thickBot="1" x14ac:dyDescent="0.3"/>
    <row r="44" spans="1:17" ht="80.099999999999994" customHeight="1" thickBot="1" x14ac:dyDescent="0.3">
      <c r="A44" s="76" t="s">
        <v>30</v>
      </c>
      <c r="D44" s="166" t="str">
        <f>+F6</f>
        <v>PICKUP</v>
      </c>
      <c r="E44" s="167"/>
      <c r="F44" s="167"/>
      <c r="G44" s="167"/>
      <c r="H44" s="167"/>
      <c r="I44" s="167"/>
      <c r="J44" s="167"/>
      <c r="K44" s="167"/>
      <c r="L44" s="167"/>
      <c r="M44" s="168"/>
    </row>
    <row r="45" spans="1:17" ht="36.75" x14ac:dyDescent="0.45">
      <c r="A45" s="76" t="s">
        <v>30</v>
      </c>
      <c r="D45" s="176" t="s">
        <v>12</v>
      </c>
      <c r="E45" s="177"/>
      <c r="F45" s="196" t="str">
        <f>+F4</f>
        <v>003549RA</v>
      </c>
      <c r="G45" s="196"/>
      <c r="H45" s="196"/>
      <c r="I45" s="196"/>
      <c r="J45" s="196"/>
      <c r="K45" s="196"/>
      <c r="L45" s="196"/>
      <c r="M45" s="197"/>
    </row>
    <row r="46" spans="1:17" ht="37.5" customHeight="1" thickBot="1" x14ac:dyDescent="0.5">
      <c r="A46" s="76" t="s">
        <v>30</v>
      </c>
      <c r="D46" s="158" t="s">
        <v>5</v>
      </c>
      <c r="E46" s="159"/>
      <c r="F46" s="161" t="str">
        <f>+F5</f>
        <v>ESTATES AT GRAND PRAIRIE INC.</v>
      </c>
      <c r="G46" s="161"/>
      <c r="H46" s="161"/>
      <c r="I46" s="161"/>
      <c r="J46" s="161"/>
      <c r="K46" s="161"/>
      <c r="L46" s="161"/>
      <c r="M46" s="162"/>
      <c r="N46" s="84"/>
      <c r="O46" s="84"/>
      <c r="P46" s="84"/>
    </row>
    <row r="47" spans="1:17" ht="33.75" hidden="1" thickBot="1" x14ac:dyDescent="0.45">
      <c r="A47" s="76" t="s">
        <v>19</v>
      </c>
      <c r="D47" s="172" t="s">
        <v>49</v>
      </c>
      <c r="E47" s="173"/>
      <c r="F47" s="82"/>
      <c r="G47" s="83"/>
      <c r="H47" s="82"/>
      <c r="I47" s="82"/>
      <c r="J47" s="82"/>
      <c r="K47" s="82"/>
      <c r="L47" s="82"/>
      <c r="M47" s="81"/>
    </row>
    <row r="48" spans="1:17" ht="30" hidden="1" customHeight="1" x14ac:dyDescent="0.25">
      <c r="A48" s="76" t="s">
        <v>19</v>
      </c>
      <c r="D48" s="80"/>
      <c r="E48" s="78"/>
      <c r="F48" s="174" t="s">
        <v>1334</v>
      </c>
      <c r="G48" s="174"/>
      <c r="H48" s="174"/>
      <c r="I48" s="174"/>
      <c r="J48" s="174"/>
      <c r="K48" s="174"/>
      <c r="L48" s="174"/>
      <c r="M48" s="175"/>
    </row>
    <row r="49" spans="1:13" ht="30" hidden="1" customHeight="1" x14ac:dyDescent="0.25">
      <c r="A49" s="76" t="s">
        <v>184</v>
      </c>
      <c r="D49" s="80"/>
      <c r="E49" s="78"/>
      <c r="F49" s="174" t="str">
        <f>"A108008"</f>
        <v>A108008</v>
      </c>
      <c r="G49" s="174"/>
      <c r="H49" s="174"/>
      <c r="I49" s="174"/>
      <c r="J49" s="174"/>
      <c r="K49" s="174"/>
      <c r="L49" s="174"/>
      <c r="M49" s="175"/>
    </row>
    <row r="50" spans="1:13" ht="30" hidden="1" customHeight="1" x14ac:dyDescent="0.25">
      <c r="A50" s="76" t="s">
        <v>184</v>
      </c>
      <c r="D50" s="80"/>
      <c r="E50" s="78"/>
      <c r="F50" s="174" t="str">
        <f>"A108230"</f>
        <v>A108230</v>
      </c>
      <c r="G50" s="174"/>
      <c r="H50" s="174"/>
      <c r="I50" s="174"/>
      <c r="J50" s="174"/>
      <c r="K50" s="174"/>
      <c r="L50" s="174"/>
      <c r="M50" s="175"/>
    </row>
    <row r="51" spans="1:13" ht="30" hidden="1" customHeight="1" x14ac:dyDescent="0.25">
      <c r="A51" s="76" t="s">
        <v>184</v>
      </c>
      <c r="D51" s="80"/>
      <c r="E51" s="78"/>
      <c r="F51" s="174" t="str">
        <f>"A108259"</f>
        <v>A108259</v>
      </c>
      <c r="G51" s="174"/>
      <c r="H51" s="174"/>
      <c r="I51" s="174"/>
      <c r="J51" s="174"/>
      <c r="K51" s="174"/>
      <c r="L51" s="174"/>
      <c r="M51" s="175"/>
    </row>
    <row r="52" spans="1:13" ht="30" hidden="1" customHeight="1" x14ac:dyDescent="0.25">
      <c r="A52" s="76" t="s">
        <v>184</v>
      </c>
      <c r="D52" s="80"/>
      <c r="E52" s="78"/>
      <c r="F52" s="174" t="str">
        <f>"A108336"</f>
        <v>A108336</v>
      </c>
      <c r="G52" s="174"/>
      <c r="H52" s="174"/>
      <c r="I52" s="174"/>
      <c r="J52" s="174"/>
      <c r="K52" s="174"/>
      <c r="L52" s="174"/>
      <c r="M52" s="175"/>
    </row>
    <row r="53" spans="1:13" ht="30" hidden="1" customHeight="1" x14ac:dyDescent="0.25">
      <c r="A53" s="76" t="s">
        <v>184</v>
      </c>
      <c r="D53" s="80"/>
      <c r="E53" s="78"/>
      <c r="F53" s="174" t="str">
        <f>"A108418"</f>
        <v>A108418</v>
      </c>
      <c r="G53" s="174"/>
      <c r="H53" s="174"/>
      <c r="I53" s="174"/>
      <c r="J53" s="174"/>
      <c r="K53" s="174"/>
      <c r="L53" s="174"/>
      <c r="M53" s="175"/>
    </row>
    <row r="54" spans="1:13" ht="30" hidden="1" customHeight="1" x14ac:dyDescent="0.25">
      <c r="A54" s="76" t="s">
        <v>184</v>
      </c>
      <c r="D54" s="80"/>
      <c r="E54" s="78"/>
      <c r="F54" s="174" t="str">
        <f>"A108435"</f>
        <v>A108435</v>
      </c>
      <c r="G54" s="174"/>
      <c r="H54" s="174"/>
      <c r="I54" s="174"/>
      <c r="J54" s="174"/>
      <c r="K54" s="174"/>
      <c r="L54" s="174"/>
      <c r="M54" s="175"/>
    </row>
    <row r="55" spans="1:13" ht="15.75" hidden="1" customHeight="1" thickBot="1" x14ac:dyDescent="0.3">
      <c r="A55" s="76" t="s">
        <v>19</v>
      </c>
      <c r="D55" s="80"/>
      <c r="E55" s="78"/>
      <c r="F55" s="78"/>
      <c r="G55" s="79"/>
      <c r="H55" s="78"/>
      <c r="I55" s="78"/>
      <c r="J55" s="78"/>
      <c r="K55" s="78"/>
      <c r="L55" s="78"/>
      <c r="M55" s="77"/>
    </row>
    <row r="56" spans="1:13" ht="36.75" x14ac:dyDescent="0.45">
      <c r="A56" s="76" t="s">
        <v>30</v>
      </c>
      <c r="D56" s="176" t="s">
        <v>50</v>
      </c>
      <c r="E56" s="177"/>
      <c r="F56" s="178">
        <f>+F7</f>
        <v>42612</v>
      </c>
      <c r="G56" s="179"/>
      <c r="H56" s="179"/>
      <c r="I56" s="179"/>
      <c r="J56" s="179"/>
      <c r="K56" s="179"/>
      <c r="L56" s="179"/>
      <c r="M56" s="180"/>
    </row>
    <row r="57" spans="1:13" ht="37.5" thickBot="1" x14ac:dyDescent="0.5">
      <c r="A57" s="76" t="s">
        <v>30</v>
      </c>
      <c r="D57" s="158" t="s">
        <v>32</v>
      </c>
      <c r="E57" s="159"/>
      <c r="F57" s="160"/>
      <c r="G57" s="161"/>
      <c r="H57" s="161"/>
      <c r="I57" s="161"/>
      <c r="J57" s="161"/>
      <c r="K57" s="161"/>
      <c r="L57" s="161"/>
      <c r="M57" s="162"/>
    </row>
    <row r="58" spans="1:13" ht="80.099999999999994" customHeight="1" thickBot="1" x14ac:dyDescent="0.3">
      <c r="A58" s="76" t="s">
        <v>30</v>
      </c>
      <c r="D58" s="163" t="s">
        <v>51</v>
      </c>
      <c r="E58" s="164"/>
      <c r="F58" s="164"/>
      <c r="G58" s="164"/>
      <c r="H58" s="164"/>
      <c r="I58" s="164"/>
      <c r="J58" s="164"/>
      <c r="K58" s="164"/>
      <c r="L58" s="164"/>
      <c r="M58" s="165"/>
    </row>
    <row r="59" spans="1:13" ht="90" customHeight="1" thickBot="1" x14ac:dyDescent="0.3">
      <c r="A59" s="76" t="s">
        <v>30</v>
      </c>
      <c r="D59" s="166" t="str">
        <f>IF(F6="DELIVER",G6,F6)</f>
        <v>PICKUP</v>
      </c>
      <c r="E59" s="167"/>
      <c r="F59" s="167"/>
      <c r="G59" s="167"/>
      <c r="H59" s="167"/>
      <c r="I59" s="167"/>
      <c r="J59" s="167"/>
      <c r="K59" s="167"/>
      <c r="L59" s="167"/>
      <c r="M59" s="168"/>
    </row>
    <row r="60" spans="1:13" ht="60" customHeight="1" thickBot="1" x14ac:dyDescent="0.3">
      <c r="A60" s="76" t="s">
        <v>30</v>
      </c>
      <c r="D60" s="169" t="s">
        <v>55</v>
      </c>
      <c r="E60" s="170"/>
      <c r="F60" s="170"/>
      <c r="G60" s="170"/>
      <c r="H60" s="170"/>
      <c r="I60" s="170"/>
      <c r="J60" s="170"/>
      <c r="K60" s="170"/>
      <c r="L60" s="170"/>
      <c r="M60" s="171"/>
    </row>
  </sheetData>
  <mergeCells count="23">
    <mergeCell ref="D2:M2"/>
    <mergeCell ref="F26:M28"/>
    <mergeCell ref="D42:M42"/>
    <mergeCell ref="D44:M44"/>
    <mergeCell ref="D45:E45"/>
    <mergeCell ref="F45:M45"/>
    <mergeCell ref="D46:E46"/>
    <mergeCell ref="F46:M46"/>
    <mergeCell ref="D47:E47"/>
    <mergeCell ref="F48:M48"/>
    <mergeCell ref="D56:E56"/>
    <mergeCell ref="F56:M56"/>
    <mergeCell ref="F54:M54"/>
    <mergeCell ref="F49:M49"/>
    <mergeCell ref="F50:M50"/>
    <mergeCell ref="F51:M51"/>
    <mergeCell ref="F52:M52"/>
    <mergeCell ref="F53:M53"/>
    <mergeCell ref="D57:E57"/>
    <mergeCell ref="F57:M57"/>
    <mergeCell ref="D58:M58"/>
    <mergeCell ref="D59:M59"/>
    <mergeCell ref="D60:M60"/>
  </mergeCells>
  <conditionalFormatting sqref="F6">
    <cfRule type="cellIs" dxfId="424" priority="5" operator="equal">
      <formula>"DELIVER"</formula>
    </cfRule>
  </conditionalFormatting>
  <conditionalFormatting sqref="D44">
    <cfRule type="cellIs" dxfId="423" priority="4" operator="equal">
      <formula>"DELIVER"</formula>
    </cfRule>
  </conditionalFormatting>
  <conditionalFormatting sqref="D2:M2">
    <cfRule type="expression" dxfId="422" priority="3">
      <formula>$F$6="DELIVER"</formula>
    </cfRule>
  </conditionalFormatting>
  <conditionalFormatting sqref="G6">
    <cfRule type="expression" dxfId="421" priority="2">
      <formula>$F$6="DELIVER"</formula>
    </cfRule>
  </conditionalFormatting>
  <conditionalFormatting sqref="D59">
    <cfRule type="expression" dxfId="42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42" max="16383" man="1"/>
  </rowBreaks>
  <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1660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847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1034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44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1662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816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1038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44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1664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1046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44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1666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833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44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1668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518</v>
      </c>
      <c r="E4" s="72" t="s">
        <v>37</v>
      </c>
      <c r="F4" s="72" t="s">
        <v>116</v>
      </c>
      <c r="K4" s="72" t="s">
        <v>42</v>
      </c>
      <c r="M4" s="72" t="s">
        <v>382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383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384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1066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1067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44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x14ac:dyDescent="0.25">
      <c r="B27" s="72" t="s">
        <v>225</v>
      </c>
    </row>
    <row r="28" spans="1:17" x14ac:dyDescent="0.25">
      <c r="B28" s="72" t="s">
        <v>385</v>
      </c>
      <c r="D28" s="72" t="s">
        <v>166</v>
      </c>
    </row>
    <row r="30" spans="1:17" x14ac:dyDescent="0.25">
      <c r="A30" s="72" t="s">
        <v>30</v>
      </c>
      <c r="D30" s="72" t="s">
        <v>167</v>
      </c>
    </row>
    <row r="31" spans="1:17" x14ac:dyDescent="0.25">
      <c r="A31" s="72" t="s">
        <v>30</v>
      </c>
      <c r="D31" s="72" t="s">
        <v>12</v>
      </c>
      <c r="F31" s="72" t="s">
        <v>168</v>
      </c>
    </row>
    <row r="32" spans="1:17" x14ac:dyDescent="0.25">
      <c r="A32" s="72" t="s">
        <v>30</v>
      </c>
      <c r="D32" s="72" t="s">
        <v>5</v>
      </c>
      <c r="F32" s="72" t="s">
        <v>169</v>
      </c>
    </row>
    <row r="33" spans="1:6" x14ac:dyDescent="0.25">
      <c r="A33" s="72" t="s">
        <v>19</v>
      </c>
      <c r="D33" s="72" t="s">
        <v>49</v>
      </c>
    </row>
    <row r="34" spans="1:6" x14ac:dyDescent="0.25">
      <c r="A34" s="72" t="s">
        <v>19</v>
      </c>
      <c r="F34" s="72" t="s">
        <v>170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RowHeight="15" x14ac:dyDescent="0.25"/>
  <sheetData>
    <row r="1" spans="1:26" x14ac:dyDescent="0.25">
      <c r="A1" s="72" t="s">
        <v>1670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798</v>
      </c>
      <c r="E4" s="72" t="s">
        <v>37</v>
      </c>
      <c r="F4" s="72" t="s">
        <v>116</v>
      </c>
      <c r="K4" s="72" t="s">
        <v>42</v>
      </c>
      <c r="M4" s="72" t="s">
        <v>382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383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384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1070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1071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44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x14ac:dyDescent="0.25">
      <c r="B27" s="72" t="s">
        <v>225</v>
      </c>
    </row>
    <row r="28" spans="1:17" x14ac:dyDescent="0.25">
      <c r="B28" s="72" t="s">
        <v>385</v>
      </c>
      <c r="D28" s="72" t="s">
        <v>166</v>
      </c>
    </row>
    <row r="30" spans="1:17" x14ac:dyDescent="0.25">
      <c r="A30" s="72" t="s">
        <v>30</v>
      </c>
      <c r="D30" s="72" t="s">
        <v>167</v>
      </c>
    </row>
    <row r="31" spans="1:17" x14ac:dyDescent="0.25">
      <c r="A31" s="72" t="s">
        <v>30</v>
      </c>
      <c r="D31" s="72" t="s">
        <v>12</v>
      </c>
      <c r="F31" s="72" t="s">
        <v>168</v>
      </c>
    </row>
    <row r="32" spans="1:17" x14ac:dyDescent="0.25">
      <c r="A32" s="72" t="s">
        <v>30</v>
      </c>
      <c r="D32" s="72" t="s">
        <v>5</v>
      </c>
      <c r="F32" s="72" t="s">
        <v>169</v>
      </c>
    </row>
    <row r="33" spans="1:6" x14ac:dyDescent="0.25">
      <c r="A33" s="72" t="s">
        <v>19</v>
      </c>
      <c r="D33" s="72" t="s">
        <v>49</v>
      </c>
    </row>
    <row r="34" spans="1:6" x14ac:dyDescent="0.25">
      <c r="A34" s="72" t="s">
        <v>19</v>
      </c>
      <c r="F34" s="72" t="s">
        <v>170</v>
      </c>
    </row>
    <row r="35" spans="1:6" x14ac:dyDescent="0.25">
      <c r="A35" s="72" t="s">
        <v>184</v>
      </c>
      <c r="F35" s="72" t="s">
        <v>1074</v>
      </c>
    </row>
    <row r="36" spans="1:6" x14ac:dyDescent="0.25">
      <c r="A36" s="72" t="s">
        <v>19</v>
      </c>
    </row>
    <row r="37" spans="1:6" x14ac:dyDescent="0.25">
      <c r="A37" s="72" t="s">
        <v>30</v>
      </c>
      <c r="D37" s="72" t="s">
        <v>50</v>
      </c>
      <c r="F37" s="72" t="s">
        <v>171</v>
      </c>
    </row>
    <row r="38" spans="1:6" x14ac:dyDescent="0.25">
      <c r="A38" s="72" t="s">
        <v>30</v>
      </c>
      <c r="D38" s="72" t="s">
        <v>32</v>
      </c>
    </row>
    <row r="39" spans="1:6" x14ac:dyDescent="0.25">
      <c r="A39" s="72" t="s">
        <v>30</v>
      </c>
      <c r="D39" s="72" t="s">
        <v>51</v>
      </c>
    </row>
    <row r="40" spans="1:6" x14ac:dyDescent="0.25">
      <c r="A40" s="72" t="s">
        <v>30</v>
      </c>
      <c r="D40" s="72" t="s">
        <v>172</v>
      </c>
    </row>
    <row r="41" spans="1:6" x14ac:dyDescent="0.25">
      <c r="A41" s="72" t="s">
        <v>30</v>
      </c>
      <c r="D41" s="72" t="s">
        <v>55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1672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835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1075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44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1674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517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1078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44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184</v>
      </c>
      <c r="F34" s="72" t="s">
        <v>1081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/>
  </sheetViews>
  <sheetFormatPr defaultRowHeight="15" x14ac:dyDescent="0.25"/>
  <sheetData>
    <row r="1" spans="1:26" x14ac:dyDescent="0.25">
      <c r="A1" s="72" t="s">
        <v>1676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804</v>
      </c>
      <c r="E4" s="72" t="s">
        <v>37</v>
      </c>
      <c r="F4" s="72" t="s">
        <v>116</v>
      </c>
      <c r="K4" s="72" t="s">
        <v>42</v>
      </c>
      <c r="M4" s="72" t="s">
        <v>714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715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716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1082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1084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1086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1088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44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534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184</v>
      </c>
      <c r="F37" s="72" t="s">
        <v>1083</v>
      </c>
    </row>
    <row r="38" spans="1:6" x14ac:dyDescent="0.25">
      <c r="A38" s="72" t="s">
        <v>184</v>
      </c>
      <c r="F38" s="72" t="s">
        <v>1085</v>
      </c>
    </row>
    <row r="39" spans="1:6" x14ac:dyDescent="0.25">
      <c r="A39" s="72" t="s">
        <v>184</v>
      </c>
      <c r="F39" s="72" t="s">
        <v>1087</v>
      </c>
    </row>
    <row r="40" spans="1:6" x14ac:dyDescent="0.25">
      <c r="A40" s="72" t="s">
        <v>19</v>
      </c>
    </row>
    <row r="41" spans="1:6" x14ac:dyDescent="0.25">
      <c r="A41" s="72" t="s">
        <v>30</v>
      </c>
      <c r="D41" s="72" t="s">
        <v>50</v>
      </c>
      <c r="F41" s="72" t="s">
        <v>171</v>
      </c>
    </row>
    <row r="42" spans="1:6" x14ac:dyDescent="0.25">
      <c r="A42" s="72" t="s">
        <v>30</v>
      </c>
      <c r="D42" s="72" t="s">
        <v>32</v>
      </c>
    </row>
    <row r="43" spans="1:6" x14ac:dyDescent="0.25">
      <c r="A43" s="72" t="s">
        <v>30</v>
      </c>
      <c r="D43" s="72" t="s">
        <v>51</v>
      </c>
    </row>
    <row r="44" spans="1:6" x14ac:dyDescent="0.25">
      <c r="A44" s="72" t="s">
        <v>30</v>
      </c>
      <c r="D44" s="72" t="s">
        <v>172</v>
      </c>
    </row>
    <row r="45" spans="1:6" x14ac:dyDescent="0.25">
      <c r="A45" s="72" t="s">
        <v>30</v>
      </c>
      <c r="D45" s="72" t="s">
        <v>55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1678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1098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44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184</v>
      </c>
      <c r="F34" s="72" t="s">
        <v>1099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1605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FAMILY GATEWAY  (004052HSF)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"004052HSF"</f>
        <v>004052HSF</v>
      </c>
      <c r="E4" s="101" t="s">
        <v>37</v>
      </c>
      <c r="F4" s="105" t="str">
        <f>C4</f>
        <v>004052HSF</v>
      </c>
      <c r="K4" s="101" t="s">
        <v>42</v>
      </c>
      <c r="L4" s="104"/>
      <c r="M4" s="111">
        <f>SUM(I25:I29)</f>
        <v>17</v>
      </c>
    </row>
    <row r="5" spans="1:26" ht="18" customHeight="1" x14ac:dyDescent="0.25">
      <c r="B5" s="76" t="str">
        <f t="shared" si="0"/>
        <v>Show</v>
      </c>
      <c r="C5" s="109" t="s">
        <v>1354</v>
      </c>
      <c r="E5" s="101" t="s">
        <v>36</v>
      </c>
      <c r="F5" s="112" t="s">
        <v>1190</v>
      </c>
      <c r="K5" s="101" t="s">
        <v>43</v>
      </c>
      <c r="L5" s="104"/>
      <c r="M5" s="111">
        <f>ROUND(SUM(O25:O29),0)</f>
        <v>374</v>
      </c>
    </row>
    <row r="6" spans="1:26" ht="18" customHeight="1" x14ac:dyDescent="0.25">
      <c r="B6" s="76" t="str">
        <f t="shared" si="0"/>
        <v>Show</v>
      </c>
      <c r="C6" s="109" t="s">
        <v>1355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ROUND(COUNT(O25:O29),0)</f>
        <v>4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A108339|A108339|A108339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ITPN-207473|ITPN-207474|ITPN-207473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1354</v>
      </c>
      <c r="E12" s="74" t="s">
        <v>1335</v>
      </c>
      <c r="F12" s="74" t="s">
        <v>1350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Pick"",""2"",""ITPN-207474"""</f>
        <v>"Ceres NTFB Live","NTFB Live","5766","1","Invt. Pick","2","ITPN-207474"</v>
      </c>
      <c r="E13" s="74" t="s">
        <v>1335</v>
      </c>
      <c r="F13" s="74" t="s">
        <v>1351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1335</v>
      </c>
      <c r="E14" s="74" t="str">
        <f>E12</f>
        <v>A108339</v>
      </c>
      <c r="F14" s="74" t="str">
        <f>F12</f>
        <v>ITPN-207473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1352</v>
      </c>
      <c r="F15" s="92" t="s">
        <v>1353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96" t="s">
        <v>79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1356</v>
      </c>
      <c r="D25" s="89" t="s">
        <v>1336</v>
      </c>
      <c r="E25" s="89" t="s">
        <v>1337</v>
      </c>
      <c r="F25" s="89" t="s">
        <v>749</v>
      </c>
      <c r="G25" s="91" t="s">
        <v>1338</v>
      </c>
      <c r="H25" s="90" t="s">
        <v>750</v>
      </c>
      <c r="I25" s="89">
        <v>5</v>
      </c>
      <c r="J25" s="89" t="s">
        <v>286</v>
      </c>
      <c r="K25" s="88"/>
      <c r="L25" s="87"/>
      <c r="M25" s="87"/>
      <c r="N25" s="85" t="s">
        <v>179</v>
      </c>
      <c r="O25" s="85">
        <v>110</v>
      </c>
      <c r="P25" s="85" t="s">
        <v>183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28" si="2">IF(I26="","Hide","Show")</f>
        <v>Show</v>
      </c>
      <c r="C26" s="74" t="str">
        <f>"""Ceres NTFB Live"",""NTFB Live"",""5767"",""1"",""Invt. Pick"",""2"",""ITPN-207474"",""3"",""31000"""</f>
        <v>"Ceres NTFB Live","NTFB Live","5767","1","Invt. Pick","2","ITPN-207474","3","31000"</v>
      </c>
      <c r="D26" s="89" t="s">
        <v>1339</v>
      </c>
      <c r="E26" s="89" t="s">
        <v>1340</v>
      </c>
      <c r="F26" s="89" t="s">
        <v>1287</v>
      </c>
      <c r="G26" s="91" t="s">
        <v>1341</v>
      </c>
      <c r="H26" s="90" t="s">
        <v>1288</v>
      </c>
      <c r="I26" s="89">
        <v>4</v>
      </c>
      <c r="J26" s="89" t="s">
        <v>286</v>
      </c>
      <c r="K26" s="88"/>
      <c r="L26" s="87"/>
      <c r="M26" s="87"/>
      <c r="N26" s="85" t="s">
        <v>179</v>
      </c>
      <c r="O26" s="85">
        <v>112</v>
      </c>
      <c r="P26" s="85" t="s">
        <v>742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2"/>
        <v>Show</v>
      </c>
      <c r="C27" s="74" t="str">
        <f>"""Ceres NTFB Live"",""NTFB Live"",""5767"",""1"",""Invt. Pick"",""2"",""ITPN-207474"",""3"",""60000"""</f>
        <v>"Ceres NTFB Live","NTFB Live","5767","1","Invt. Pick","2","ITPN-207474","3","60000"</v>
      </c>
      <c r="D27" s="89" t="s">
        <v>1342</v>
      </c>
      <c r="E27" s="89" t="s">
        <v>1343</v>
      </c>
      <c r="F27" s="89" t="s">
        <v>1344</v>
      </c>
      <c r="G27" s="91" t="s">
        <v>1341</v>
      </c>
      <c r="H27" s="90" t="s">
        <v>1345</v>
      </c>
      <c r="I27" s="89">
        <v>4</v>
      </c>
      <c r="J27" s="89" t="s">
        <v>286</v>
      </c>
      <c r="K27" s="88"/>
      <c r="L27" s="87"/>
      <c r="M27" s="87"/>
      <c r="N27" s="85" t="s">
        <v>179</v>
      </c>
      <c r="O27" s="85">
        <v>104</v>
      </c>
      <c r="P27" s="85" t="s">
        <v>742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2"/>
        <v>Show</v>
      </c>
      <c r="C28" s="74" t="str">
        <f>"""Ceres NTFB Live"",""NTFB Live"",""5767"",""1"",""Invt. Pick"",""2"",""ITPN-207474"",""3"",""40000"""</f>
        <v>"Ceres NTFB Live","NTFB Live","5767","1","Invt. Pick","2","ITPN-207474","3","40000"</v>
      </c>
      <c r="D28" s="89" t="s">
        <v>1346</v>
      </c>
      <c r="E28" s="89" t="s">
        <v>1347</v>
      </c>
      <c r="F28" s="89" t="s">
        <v>1348</v>
      </c>
      <c r="G28" s="91" t="s">
        <v>1341</v>
      </c>
      <c r="H28" s="90" t="s">
        <v>1349</v>
      </c>
      <c r="I28" s="89">
        <v>4</v>
      </c>
      <c r="J28" s="89" t="s">
        <v>286</v>
      </c>
      <c r="K28" s="88"/>
      <c r="L28" s="87"/>
      <c r="M28" s="87"/>
      <c r="N28" s="85" t="s">
        <v>179</v>
      </c>
      <c r="O28" s="85">
        <v>48</v>
      </c>
      <c r="P28" s="85" t="s">
        <v>742</v>
      </c>
      <c r="Q28" s="86" t="s">
        <v>56</v>
      </c>
    </row>
    <row r="29" spans="1:17" ht="15.75" thickBot="1" x14ac:dyDescent="0.3">
      <c r="B29" s="74" t="str">
        <f>B25</f>
        <v>Show</v>
      </c>
      <c r="H29" s="85"/>
      <c r="I29" s="85"/>
    </row>
    <row r="30" spans="1:17" ht="15.75" thickBot="1" x14ac:dyDescent="0.3">
      <c r="B30" s="74" t="str">
        <f>+B29</f>
        <v>Show</v>
      </c>
      <c r="D30" s="193" t="str">
        <f>+"END OF "&amp;D2</f>
        <v>END OF FAMILY GATEWAY  (004052HSF) - DRY|DRYUSDA|MCTF PICK LIST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PICKUP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004052HSF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FAMILY GATEWAY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1335</v>
      </c>
      <c r="G36" s="174"/>
      <c r="H36" s="174"/>
      <c r="I36" s="174"/>
      <c r="J36" s="174"/>
      <c r="K36" s="174"/>
      <c r="L36" s="174"/>
      <c r="M36" s="175"/>
    </row>
    <row r="37" spans="1:16" ht="15.75" hidden="1" customHeight="1" thickBot="1" x14ac:dyDescent="0.3">
      <c r="A37" s="76" t="s">
        <v>19</v>
      </c>
      <c r="D37" s="80"/>
      <c r="E37" s="78"/>
      <c r="F37" s="78"/>
      <c r="G37" s="79"/>
      <c r="H37" s="78"/>
      <c r="I37" s="78"/>
      <c r="J37" s="78"/>
      <c r="K37" s="78"/>
      <c r="L37" s="78"/>
      <c r="M37" s="77"/>
    </row>
    <row r="38" spans="1:16" ht="36.75" x14ac:dyDescent="0.45">
      <c r="A38" s="76" t="s">
        <v>30</v>
      </c>
      <c r="D38" s="176" t="s">
        <v>50</v>
      </c>
      <c r="E38" s="177"/>
      <c r="F38" s="178">
        <f>+F7</f>
        <v>42612</v>
      </c>
      <c r="G38" s="179"/>
      <c r="H38" s="179"/>
      <c r="I38" s="179"/>
      <c r="J38" s="179"/>
      <c r="K38" s="179"/>
      <c r="L38" s="179"/>
      <c r="M38" s="180"/>
    </row>
    <row r="39" spans="1:16" ht="37.5" thickBot="1" x14ac:dyDescent="0.5">
      <c r="A39" s="76" t="s">
        <v>30</v>
      </c>
      <c r="D39" s="158" t="s">
        <v>32</v>
      </c>
      <c r="E39" s="159"/>
      <c r="F39" s="160"/>
      <c r="G39" s="161"/>
      <c r="H39" s="161"/>
      <c r="I39" s="161"/>
      <c r="J39" s="161"/>
      <c r="K39" s="161"/>
      <c r="L39" s="161"/>
      <c r="M39" s="162"/>
    </row>
    <row r="40" spans="1:16" ht="80.099999999999994" customHeight="1" thickBot="1" x14ac:dyDescent="0.3">
      <c r="A40" s="76" t="s">
        <v>30</v>
      </c>
      <c r="D40" s="163" t="s">
        <v>51</v>
      </c>
      <c r="E40" s="164"/>
      <c r="F40" s="164"/>
      <c r="G40" s="164"/>
      <c r="H40" s="164"/>
      <c r="I40" s="164"/>
      <c r="J40" s="164"/>
      <c r="K40" s="164"/>
      <c r="L40" s="164"/>
      <c r="M40" s="165"/>
    </row>
    <row r="41" spans="1:16" ht="90" customHeight="1" thickBot="1" x14ac:dyDescent="0.3">
      <c r="A41" s="76" t="s">
        <v>30</v>
      </c>
      <c r="D41" s="166" t="str">
        <f>IF(F6="DELIVER",G6,F6)</f>
        <v>PICKUP</v>
      </c>
      <c r="E41" s="167"/>
      <c r="F41" s="167"/>
      <c r="G41" s="167"/>
      <c r="H41" s="167"/>
      <c r="I41" s="167"/>
      <c r="J41" s="167"/>
      <c r="K41" s="167"/>
      <c r="L41" s="167"/>
      <c r="M41" s="168"/>
    </row>
    <row r="42" spans="1:16" ht="60" customHeight="1" thickBot="1" x14ac:dyDescent="0.3">
      <c r="A42" s="76" t="s">
        <v>30</v>
      </c>
      <c r="D42" s="169" t="s">
        <v>55</v>
      </c>
      <c r="E42" s="170"/>
      <c r="F42" s="170"/>
      <c r="G42" s="170"/>
      <c r="H42" s="170"/>
      <c r="I42" s="170"/>
      <c r="J42" s="170"/>
      <c r="K42" s="170"/>
      <c r="L42" s="170"/>
      <c r="M42" s="171"/>
    </row>
  </sheetData>
  <mergeCells count="17">
    <mergeCell ref="D2:M2"/>
    <mergeCell ref="F16:M18"/>
    <mergeCell ref="D30:M30"/>
    <mergeCell ref="D32:M32"/>
    <mergeCell ref="D33:E33"/>
    <mergeCell ref="F33:M33"/>
    <mergeCell ref="D34:E34"/>
    <mergeCell ref="F34:M34"/>
    <mergeCell ref="D35:E35"/>
    <mergeCell ref="F36:M36"/>
    <mergeCell ref="D38:E38"/>
    <mergeCell ref="F38:M38"/>
    <mergeCell ref="D39:E39"/>
    <mergeCell ref="F39:M39"/>
    <mergeCell ref="D40:M40"/>
    <mergeCell ref="D41:M41"/>
    <mergeCell ref="D42:M42"/>
  </mergeCells>
  <conditionalFormatting sqref="F6">
    <cfRule type="cellIs" dxfId="419" priority="5" operator="equal">
      <formula>"DELIVER"</formula>
    </cfRule>
  </conditionalFormatting>
  <conditionalFormatting sqref="D32">
    <cfRule type="cellIs" dxfId="418" priority="4" operator="equal">
      <formula>"DELIVER"</formula>
    </cfRule>
  </conditionalFormatting>
  <conditionalFormatting sqref="D2:M2">
    <cfRule type="expression" dxfId="417" priority="3">
      <formula>$F$6="DELIVER"</formula>
    </cfRule>
  </conditionalFormatting>
  <conditionalFormatting sqref="G6">
    <cfRule type="expression" dxfId="416" priority="2">
      <formula>$F$6="DELIVER"</formula>
    </cfRule>
  </conditionalFormatting>
  <conditionalFormatting sqref="D41">
    <cfRule type="expression" dxfId="41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1680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858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1103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44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/>
  </sheetViews>
  <sheetFormatPr defaultRowHeight="15" x14ac:dyDescent="0.25"/>
  <sheetData>
    <row r="1" spans="1:26" x14ac:dyDescent="0.25">
      <c r="A1" s="72" t="s">
        <v>1682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704</v>
      </c>
      <c r="C2" s="72" t="s">
        <v>7</v>
      </c>
      <c r="D2" s="72" t="s">
        <v>705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1109</v>
      </c>
      <c r="E4" s="72" t="s">
        <v>37</v>
      </c>
      <c r="F4" s="72" t="s">
        <v>116</v>
      </c>
      <c r="K4" s="72" t="s">
        <v>42</v>
      </c>
      <c r="M4" s="72" t="s">
        <v>720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721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722</v>
      </c>
      <c r="W6" s="72" t="s">
        <v>706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423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707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149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150</v>
      </c>
      <c r="C13" s="72" t="s">
        <v>1113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151</v>
      </c>
      <c r="C14" s="72" t="s">
        <v>1114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152</v>
      </c>
      <c r="C15" s="72" t="s">
        <v>1115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207</v>
      </c>
      <c r="C16" s="72" t="s">
        <v>1117</v>
      </c>
      <c r="E16" s="72" t="s">
        <v>571</v>
      </c>
      <c r="F16" s="72" t="s">
        <v>575</v>
      </c>
    </row>
    <row r="17" spans="1:17" x14ac:dyDescent="0.25">
      <c r="A17" s="72" t="s">
        <v>173</v>
      </c>
      <c r="B17" s="72" t="s">
        <v>225</v>
      </c>
      <c r="C17" s="72" t="s">
        <v>1118</v>
      </c>
      <c r="E17" s="72" t="s">
        <v>572</v>
      </c>
      <c r="F17" s="72" t="s">
        <v>576</v>
      </c>
    </row>
    <row r="18" spans="1:17" x14ac:dyDescent="0.25">
      <c r="A18" s="72" t="s">
        <v>173</v>
      </c>
      <c r="B18" s="72" t="s">
        <v>226</v>
      </c>
      <c r="C18" s="72" t="s">
        <v>1120</v>
      </c>
      <c r="E18" s="72" t="s">
        <v>573</v>
      </c>
      <c r="F18" s="72" t="s">
        <v>577</v>
      </c>
    </row>
    <row r="19" spans="1:17" x14ac:dyDescent="0.25">
      <c r="A19" s="72" t="s">
        <v>173</v>
      </c>
      <c r="B19" s="72" t="s">
        <v>534</v>
      </c>
      <c r="C19" s="72" t="s">
        <v>1121</v>
      </c>
      <c r="E19" s="72" t="s">
        <v>574</v>
      </c>
      <c r="F19" s="72" t="s">
        <v>578</v>
      </c>
    </row>
    <row r="20" spans="1:17" x14ac:dyDescent="0.25">
      <c r="A20" s="72" t="s">
        <v>173</v>
      </c>
      <c r="B20" s="72" t="s">
        <v>535</v>
      </c>
      <c r="C20" s="72" t="s">
        <v>1123</v>
      </c>
      <c r="E20" s="72" t="s">
        <v>712</v>
      </c>
      <c r="F20" s="72" t="s">
        <v>713</v>
      </c>
    </row>
    <row r="21" spans="1:17" x14ac:dyDescent="0.25">
      <c r="A21" s="72" t="s">
        <v>6</v>
      </c>
      <c r="B21" s="72" t="s">
        <v>150</v>
      </c>
      <c r="C21" s="72" t="s">
        <v>135</v>
      </c>
      <c r="E21" s="72" t="s">
        <v>138</v>
      </c>
      <c r="F21" s="72" t="s">
        <v>139</v>
      </c>
    </row>
    <row r="22" spans="1:17" x14ac:dyDescent="0.25">
      <c r="A22" s="72" t="s">
        <v>6</v>
      </c>
      <c r="B22" s="72" t="s">
        <v>151</v>
      </c>
      <c r="E22" s="72" t="s">
        <v>708</v>
      </c>
      <c r="F22" s="72" t="s">
        <v>709</v>
      </c>
    </row>
    <row r="23" spans="1:17" x14ac:dyDescent="0.25">
      <c r="B23" s="72" t="s">
        <v>152</v>
      </c>
      <c r="E23" s="72" t="s">
        <v>20</v>
      </c>
      <c r="F23" s="72" t="s">
        <v>144</v>
      </c>
    </row>
    <row r="24" spans="1:17" x14ac:dyDescent="0.25">
      <c r="B24" s="72" t="s">
        <v>207</v>
      </c>
    </row>
    <row r="25" spans="1:17" x14ac:dyDescent="0.25">
      <c r="B25" s="72" t="s">
        <v>225</v>
      </c>
    </row>
    <row r="26" spans="1:17" x14ac:dyDescent="0.25">
      <c r="B26" s="72" t="s">
        <v>226</v>
      </c>
    </row>
    <row r="27" spans="1:17" x14ac:dyDescent="0.25">
      <c r="B27" s="72" t="s">
        <v>534</v>
      </c>
      <c r="E27" s="72" t="s">
        <v>33</v>
      </c>
      <c r="H27" s="72" t="s">
        <v>53</v>
      </c>
    </row>
    <row r="28" spans="1:17" x14ac:dyDescent="0.25">
      <c r="B28" s="72" t="s">
        <v>535</v>
      </c>
    </row>
    <row r="29" spans="1:17" x14ac:dyDescent="0.25">
      <c r="B29" s="72" t="s">
        <v>536</v>
      </c>
      <c r="E29" s="72" t="s">
        <v>32</v>
      </c>
      <c r="H29" s="72" t="s">
        <v>54</v>
      </c>
    </row>
    <row r="30" spans="1:17" x14ac:dyDescent="0.25">
      <c r="B30" s="72" t="s">
        <v>537</v>
      </c>
      <c r="C30" s="72" t="s">
        <v>52</v>
      </c>
      <c r="D30" s="72" t="s">
        <v>52</v>
      </c>
    </row>
    <row r="31" spans="1:17" x14ac:dyDescent="0.25">
      <c r="B31" s="72" t="s">
        <v>710</v>
      </c>
      <c r="C31" s="72" t="s">
        <v>44</v>
      </c>
      <c r="D31" s="72" t="s">
        <v>28</v>
      </c>
      <c r="E31" s="72" t="s">
        <v>26</v>
      </c>
      <c r="F31" s="72" t="s">
        <v>29</v>
      </c>
      <c r="G31" s="72" t="s">
        <v>57</v>
      </c>
      <c r="H31" s="72" t="s">
        <v>27</v>
      </c>
      <c r="I31" s="72" t="s">
        <v>25</v>
      </c>
      <c r="J31" s="72" t="s">
        <v>10</v>
      </c>
      <c r="K31" s="72" t="s">
        <v>24</v>
      </c>
      <c r="M31" s="72" t="s">
        <v>31</v>
      </c>
      <c r="N31" s="72" t="s">
        <v>21</v>
      </c>
      <c r="O31" s="72" t="s">
        <v>22</v>
      </c>
      <c r="P31" s="72" t="s">
        <v>23</v>
      </c>
    </row>
    <row r="32" spans="1:17" ht="105" x14ac:dyDescent="0.25">
      <c r="B32" s="72" t="s">
        <v>297</v>
      </c>
      <c r="C32" s="72" t="s">
        <v>711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6" x14ac:dyDescent="0.25">
      <c r="B33" s="72" t="s">
        <v>710</v>
      </c>
    </row>
    <row r="34" spans="1:6" x14ac:dyDescent="0.25">
      <c r="B34" s="72" t="s">
        <v>679</v>
      </c>
      <c r="D34" s="72" t="s">
        <v>166</v>
      </c>
    </row>
    <row r="36" spans="1:6" x14ac:dyDescent="0.25">
      <c r="A36" s="72" t="s">
        <v>30</v>
      </c>
      <c r="D36" s="72" t="s">
        <v>167</v>
      </c>
    </row>
    <row r="37" spans="1:6" x14ac:dyDescent="0.25">
      <c r="A37" s="72" t="s">
        <v>30</v>
      </c>
      <c r="D37" s="72" t="s">
        <v>12</v>
      </c>
      <c r="F37" s="72" t="s">
        <v>168</v>
      </c>
    </row>
    <row r="38" spans="1:6" x14ac:dyDescent="0.25">
      <c r="A38" s="72" t="s">
        <v>30</v>
      </c>
      <c r="D38" s="72" t="s">
        <v>5</v>
      </c>
      <c r="F38" s="72" t="s">
        <v>169</v>
      </c>
    </row>
    <row r="39" spans="1:6" x14ac:dyDescent="0.25">
      <c r="A39" s="72" t="s">
        <v>19</v>
      </c>
      <c r="D39" s="72" t="s">
        <v>49</v>
      </c>
    </row>
    <row r="40" spans="1:6" x14ac:dyDescent="0.25">
      <c r="A40" s="72" t="s">
        <v>19</v>
      </c>
      <c r="F40" s="72" t="s">
        <v>170</v>
      </c>
    </row>
    <row r="41" spans="1:6" x14ac:dyDescent="0.25">
      <c r="A41" s="72" t="s">
        <v>184</v>
      </c>
      <c r="F41" s="72" t="s">
        <v>1116</v>
      </c>
    </row>
    <row r="42" spans="1:6" x14ac:dyDescent="0.25">
      <c r="A42" s="72" t="s">
        <v>184</v>
      </c>
      <c r="F42" s="72" t="s">
        <v>1119</v>
      </c>
    </row>
    <row r="43" spans="1:6" x14ac:dyDescent="0.25">
      <c r="A43" s="72" t="s">
        <v>184</v>
      </c>
      <c r="F43" s="72" t="s">
        <v>1122</v>
      </c>
    </row>
    <row r="44" spans="1:6" x14ac:dyDescent="0.25">
      <c r="A44" s="72" t="s">
        <v>19</v>
      </c>
    </row>
    <row r="45" spans="1:6" x14ac:dyDescent="0.25">
      <c r="A45" s="72" t="s">
        <v>30</v>
      </c>
      <c r="D45" s="72" t="s">
        <v>50</v>
      </c>
      <c r="F45" s="72" t="s">
        <v>171</v>
      </c>
    </row>
    <row r="46" spans="1:6" x14ac:dyDescent="0.25">
      <c r="A46" s="72" t="s">
        <v>30</v>
      </c>
      <c r="D46" s="72" t="s">
        <v>32</v>
      </c>
    </row>
    <row r="47" spans="1:6" x14ac:dyDescent="0.25">
      <c r="A47" s="72" t="s">
        <v>30</v>
      </c>
      <c r="D47" s="72" t="s">
        <v>51</v>
      </c>
    </row>
    <row r="48" spans="1:6" x14ac:dyDescent="0.25">
      <c r="A48" s="72" t="s">
        <v>30</v>
      </c>
      <c r="D48" s="72" t="s">
        <v>172</v>
      </c>
    </row>
    <row r="49" spans="1:4" x14ac:dyDescent="0.25">
      <c r="A49" s="72" t="s">
        <v>30</v>
      </c>
      <c r="D49" s="72" t="s">
        <v>55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1684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45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1686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836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45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1688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865</v>
      </c>
      <c r="E4" s="72" t="s">
        <v>37</v>
      </c>
      <c r="F4" s="72" t="s">
        <v>116</v>
      </c>
      <c r="K4" s="72" t="s">
        <v>42</v>
      </c>
      <c r="M4" s="72" t="s">
        <v>382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383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384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906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907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45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x14ac:dyDescent="0.25">
      <c r="B27" s="72" t="s">
        <v>225</v>
      </c>
    </row>
    <row r="28" spans="1:17" x14ac:dyDescent="0.25">
      <c r="B28" s="72" t="s">
        <v>385</v>
      </c>
      <c r="D28" s="72" t="s">
        <v>166</v>
      </c>
    </row>
    <row r="30" spans="1:17" x14ac:dyDescent="0.25">
      <c r="A30" s="72" t="s">
        <v>30</v>
      </c>
      <c r="D30" s="72" t="s">
        <v>167</v>
      </c>
    </row>
    <row r="31" spans="1:17" x14ac:dyDescent="0.25">
      <c r="A31" s="72" t="s">
        <v>30</v>
      </c>
      <c r="D31" s="72" t="s">
        <v>12</v>
      </c>
      <c r="F31" s="72" t="s">
        <v>168</v>
      </c>
    </row>
    <row r="32" spans="1:17" x14ac:dyDescent="0.25">
      <c r="A32" s="72" t="s">
        <v>30</v>
      </c>
      <c r="D32" s="72" t="s">
        <v>5</v>
      </c>
      <c r="F32" s="72" t="s">
        <v>169</v>
      </c>
    </row>
    <row r="33" spans="1:6" x14ac:dyDescent="0.25">
      <c r="A33" s="72" t="s">
        <v>19</v>
      </c>
      <c r="D33" s="72" t="s">
        <v>49</v>
      </c>
    </row>
    <row r="34" spans="1:6" x14ac:dyDescent="0.25">
      <c r="A34" s="72" t="s">
        <v>19</v>
      </c>
      <c r="F34" s="72" t="s">
        <v>170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1690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916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45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/>
  </sheetViews>
  <sheetFormatPr defaultRowHeight="15" x14ac:dyDescent="0.25"/>
  <sheetData>
    <row r="1" spans="1:26" x14ac:dyDescent="0.25">
      <c r="A1" s="72" t="s">
        <v>1692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815</v>
      </c>
      <c r="E4" s="72" t="s">
        <v>37</v>
      </c>
      <c r="F4" s="72" t="s">
        <v>116</v>
      </c>
      <c r="K4" s="72" t="s">
        <v>42</v>
      </c>
      <c r="M4" s="72" t="s">
        <v>714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715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716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926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927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929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931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45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534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184</v>
      </c>
      <c r="F37" s="72" t="s">
        <v>928</v>
      </c>
    </row>
    <row r="38" spans="1:6" x14ac:dyDescent="0.25">
      <c r="A38" s="72" t="s">
        <v>184</v>
      </c>
      <c r="F38" s="72" t="s">
        <v>930</v>
      </c>
    </row>
    <row r="39" spans="1:6" x14ac:dyDescent="0.25">
      <c r="A39" s="72" t="s">
        <v>19</v>
      </c>
    </row>
    <row r="40" spans="1:6" x14ac:dyDescent="0.25">
      <c r="A40" s="72" t="s">
        <v>30</v>
      </c>
      <c r="D40" s="72" t="s">
        <v>50</v>
      </c>
      <c r="F40" s="72" t="s">
        <v>171</v>
      </c>
    </row>
    <row r="41" spans="1:6" x14ac:dyDescent="0.25">
      <c r="A41" s="72" t="s">
        <v>30</v>
      </c>
      <c r="D41" s="72" t="s">
        <v>32</v>
      </c>
    </row>
    <row r="42" spans="1:6" x14ac:dyDescent="0.25">
      <c r="A42" s="72" t="s">
        <v>30</v>
      </c>
      <c r="D42" s="72" t="s">
        <v>51</v>
      </c>
    </row>
    <row r="43" spans="1:6" x14ac:dyDescent="0.25">
      <c r="A43" s="72" t="s">
        <v>30</v>
      </c>
      <c r="D43" s="72" t="s">
        <v>172</v>
      </c>
    </row>
    <row r="44" spans="1:6" x14ac:dyDescent="0.25">
      <c r="A44" s="72" t="s">
        <v>30</v>
      </c>
      <c r="D44" s="72" t="s">
        <v>55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/>
  </sheetViews>
  <sheetFormatPr defaultRowHeight="15" x14ac:dyDescent="0.25"/>
  <sheetData>
    <row r="1" spans="1:26" x14ac:dyDescent="0.25">
      <c r="A1" s="72" t="s">
        <v>1694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940</v>
      </c>
      <c r="E4" s="72" t="s">
        <v>37</v>
      </c>
      <c r="F4" s="72" t="s">
        <v>116</v>
      </c>
      <c r="K4" s="72" t="s">
        <v>42</v>
      </c>
      <c r="M4" s="72" t="s">
        <v>913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914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915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944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45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1142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1143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1144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1145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1146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1147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x14ac:dyDescent="0.25">
      <c r="B32" s="72" t="s">
        <v>207</v>
      </c>
    </row>
    <row r="33" spans="1:6" x14ac:dyDescent="0.25">
      <c r="B33" s="72" t="s">
        <v>242</v>
      </c>
      <c r="D33" s="72" t="s">
        <v>166</v>
      </c>
    </row>
    <row r="35" spans="1:6" x14ac:dyDescent="0.25">
      <c r="A35" s="72" t="s">
        <v>30</v>
      </c>
      <c r="D35" s="72" t="s">
        <v>167</v>
      </c>
    </row>
    <row r="36" spans="1:6" x14ac:dyDescent="0.25">
      <c r="A36" s="72" t="s">
        <v>30</v>
      </c>
      <c r="D36" s="72" t="s">
        <v>12</v>
      </c>
      <c r="F36" s="72" t="s">
        <v>168</v>
      </c>
    </row>
    <row r="37" spans="1:6" x14ac:dyDescent="0.25">
      <c r="A37" s="72" t="s">
        <v>30</v>
      </c>
      <c r="D37" s="72" t="s">
        <v>5</v>
      </c>
      <c r="F37" s="72" t="s">
        <v>169</v>
      </c>
    </row>
    <row r="38" spans="1:6" x14ac:dyDescent="0.25">
      <c r="A38" s="72" t="s">
        <v>19</v>
      </c>
      <c r="D38" s="72" t="s">
        <v>49</v>
      </c>
    </row>
    <row r="39" spans="1:6" x14ac:dyDescent="0.25">
      <c r="A39" s="72" t="s">
        <v>19</v>
      </c>
      <c r="F39" s="72" t="s">
        <v>170</v>
      </c>
    </row>
    <row r="40" spans="1:6" x14ac:dyDescent="0.25">
      <c r="A40" s="72" t="s">
        <v>184</v>
      </c>
      <c r="F40" s="72" t="s">
        <v>955</v>
      </c>
    </row>
    <row r="41" spans="1:6" x14ac:dyDescent="0.25">
      <c r="A41" s="72" t="s">
        <v>19</v>
      </c>
    </row>
    <row r="42" spans="1:6" x14ac:dyDescent="0.25">
      <c r="A42" s="72" t="s">
        <v>30</v>
      </c>
      <c r="D42" s="72" t="s">
        <v>50</v>
      </c>
      <c r="F42" s="72" t="s">
        <v>171</v>
      </c>
    </row>
    <row r="43" spans="1:6" x14ac:dyDescent="0.25">
      <c r="A43" s="72" t="s">
        <v>30</v>
      </c>
      <c r="D43" s="72" t="s">
        <v>32</v>
      </c>
    </row>
    <row r="44" spans="1:6" x14ac:dyDescent="0.25">
      <c r="A44" s="72" t="s">
        <v>30</v>
      </c>
      <c r="D44" s="72" t="s">
        <v>51</v>
      </c>
    </row>
    <row r="45" spans="1:6" x14ac:dyDescent="0.25">
      <c r="A45" s="72" t="s">
        <v>30</v>
      </c>
      <c r="D45" s="72" t="s">
        <v>172</v>
      </c>
    </row>
    <row r="46" spans="1:6" x14ac:dyDescent="0.25">
      <c r="A46" s="72" t="s">
        <v>30</v>
      </c>
      <c r="D46" s="72" t="s">
        <v>55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workbookViewId="0"/>
  </sheetViews>
  <sheetFormatPr defaultRowHeight="15" x14ac:dyDescent="0.25"/>
  <sheetData>
    <row r="1" spans="1:26" x14ac:dyDescent="0.25">
      <c r="A1" s="72" t="s">
        <v>1699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1567</v>
      </c>
      <c r="C2" s="72" t="s">
        <v>7</v>
      </c>
      <c r="D2" s="72" t="s">
        <v>1568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884</v>
      </c>
      <c r="E4" s="72" t="s">
        <v>37</v>
      </c>
      <c r="F4" s="72" t="s">
        <v>116</v>
      </c>
      <c r="K4" s="72" t="s">
        <v>42</v>
      </c>
      <c r="M4" s="72" t="s">
        <v>1696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1697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1698</v>
      </c>
      <c r="W6" s="72" t="s">
        <v>1572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1573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1574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148</v>
      </c>
      <c r="C13" s="72" t="s">
        <v>956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149</v>
      </c>
      <c r="C14" s="72" t="s">
        <v>957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150</v>
      </c>
      <c r="C15" s="72" t="s">
        <v>959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151</v>
      </c>
      <c r="C16" s="72" t="s">
        <v>961</v>
      </c>
      <c r="E16" s="72" t="s">
        <v>571</v>
      </c>
      <c r="F16" s="72" t="s">
        <v>575</v>
      </c>
    </row>
    <row r="17" spans="1:17" x14ac:dyDescent="0.25">
      <c r="A17" s="72" t="s">
        <v>173</v>
      </c>
      <c r="B17" s="72" t="s">
        <v>152</v>
      </c>
      <c r="C17" s="72" t="s">
        <v>963</v>
      </c>
      <c r="E17" s="72" t="s">
        <v>572</v>
      </c>
      <c r="F17" s="72" t="s">
        <v>576</v>
      </c>
    </row>
    <row r="18" spans="1:17" x14ac:dyDescent="0.25">
      <c r="A18" s="72" t="s">
        <v>173</v>
      </c>
      <c r="B18" s="72" t="s">
        <v>207</v>
      </c>
      <c r="C18" s="72" t="s">
        <v>965</v>
      </c>
      <c r="E18" s="72" t="s">
        <v>573</v>
      </c>
      <c r="F18" s="72" t="s">
        <v>577</v>
      </c>
    </row>
    <row r="19" spans="1:17" x14ac:dyDescent="0.25">
      <c r="A19" s="72" t="s">
        <v>6</v>
      </c>
      <c r="B19" s="72" t="s">
        <v>148</v>
      </c>
      <c r="C19" s="72" t="s">
        <v>135</v>
      </c>
      <c r="E19" s="72" t="s">
        <v>138</v>
      </c>
      <c r="F19" s="72" t="s">
        <v>139</v>
      </c>
    </row>
    <row r="20" spans="1:17" x14ac:dyDescent="0.25">
      <c r="A20" s="72" t="s">
        <v>6</v>
      </c>
      <c r="B20" s="72" t="s">
        <v>149</v>
      </c>
      <c r="E20" s="72" t="s">
        <v>1575</v>
      </c>
      <c r="F20" s="72" t="s">
        <v>1576</v>
      </c>
    </row>
    <row r="21" spans="1:17" x14ac:dyDescent="0.25">
      <c r="B21" s="72" t="s">
        <v>150</v>
      </c>
      <c r="E21" s="72" t="s">
        <v>20</v>
      </c>
      <c r="F21" s="72" t="s">
        <v>144</v>
      </c>
    </row>
    <row r="22" spans="1:17" x14ac:dyDescent="0.25">
      <c r="B22" s="72" t="s">
        <v>151</v>
      </c>
    </row>
    <row r="23" spans="1:17" x14ac:dyDescent="0.25">
      <c r="B23" s="72" t="s">
        <v>152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33</v>
      </c>
      <c r="H25" s="72" t="s">
        <v>53</v>
      </c>
    </row>
    <row r="26" spans="1:17" x14ac:dyDescent="0.25">
      <c r="B26" s="72" t="s">
        <v>226</v>
      </c>
    </row>
    <row r="27" spans="1:17" x14ac:dyDescent="0.25">
      <c r="B27" s="72" t="s">
        <v>534</v>
      </c>
      <c r="E27" s="72" t="s">
        <v>32</v>
      </c>
      <c r="H27" s="72" t="s">
        <v>54</v>
      </c>
    </row>
    <row r="28" spans="1:17" x14ac:dyDescent="0.25">
      <c r="B28" s="72" t="s">
        <v>535</v>
      </c>
      <c r="C28" s="72" t="s">
        <v>52</v>
      </c>
      <c r="D28" s="72" t="s">
        <v>52</v>
      </c>
    </row>
    <row r="29" spans="1:17" x14ac:dyDescent="0.25">
      <c r="B29" s="72" t="s">
        <v>536</v>
      </c>
      <c r="C29" s="72" t="s">
        <v>45</v>
      </c>
      <c r="D29" s="72" t="s">
        <v>28</v>
      </c>
      <c r="E29" s="72" t="s">
        <v>26</v>
      </c>
      <c r="F29" s="72" t="s">
        <v>29</v>
      </c>
      <c r="G29" s="72" t="s">
        <v>57</v>
      </c>
      <c r="H29" s="72" t="s">
        <v>27</v>
      </c>
      <c r="I29" s="72" t="s">
        <v>25</v>
      </c>
      <c r="J29" s="72" t="s">
        <v>10</v>
      </c>
      <c r="K29" s="72" t="s">
        <v>24</v>
      </c>
      <c r="M29" s="72" t="s">
        <v>31</v>
      </c>
      <c r="N29" s="72" t="s">
        <v>21</v>
      </c>
      <c r="O29" s="72" t="s">
        <v>22</v>
      </c>
      <c r="P29" s="72" t="s">
        <v>23</v>
      </c>
    </row>
    <row r="30" spans="1:17" ht="105" x14ac:dyDescent="0.25">
      <c r="B30" s="72" t="s">
        <v>236</v>
      </c>
      <c r="C30" s="72" t="s">
        <v>1577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1148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ht="105" x14ac:dyDescent="0.25">
      <c r="A32" s="72" t="s">
        <v>174</v>
      </c>
      <c r="B32" s="72" t="s">
        <v>297</v>
      </c>
      <c r="C32" s="72" t="s">
        <v>1149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17" ht="105" x14ac:dyDescent="0.25">
      <c r="A33" s="72" t="s">
        <v>174</v>
      </c>
      <c r="B33" s="72" t="s">
        <v>300</v>
      </c>
      <c r="C33" s="72" t="s">
        <v>1150</v>
      </c>
      <c r="D33" s="72" t="s">
        <v>320</v>
      </c>
      <c r="E33" s="72" t="s">
        <v>328</v>
      </c>
      <c r="F33" s="72" t="s">
        <v>336</v>
      </c>
      <c r="G33" s="73" t="s">
        <v>301</v>
      </c>
      <c r="H33" s="72" t="s">
        <v>344</v>
      </c>
      <c r="I33" s="72" t="s">
        <v>352</v>
      </c>
      <c r="J33" s="72" t="s">
        <v>360</v>
      </c>
      <c r="N33" s="72" t="s">
        <v>302</v>
      </c>
      <c r="O33" s="72" t="s">
        <v>368</v>
      </c>
      <c r="P33" s="72" t="s">
        <v>376</v>
      </c>
      <c r="Q33" s="73" t="s">
        <v>56</v>
      </c>
    </row>
    <row r="34" spans="1:17" x14ac:dyDescent="0.25">
      <c r="B34" s="72" t="s">
        <v>536</v>
      </c>
    </row>
    <row r="35" spans="1:17" x14ac:dyDescent="0.25">
      <c r="B35" s="72" t="s">
        <v>699</v>
      </c>
      <c r="D35" s="72" t="s">
        <v>166</v>
      </c>
    </row>
    <row r="37" spans="1:17" x14ac:dyDescent="0.25">
      <c r="A37" s="72" t="s">
        <v>30</v>
      </c>
      <c r="D37" s="72" t="s">
        <v>167</v>
      </c>
    </row>
    <row r="38" spans="1:17" x14ac:dyDescent="0.25">
      <c r="A38" s="72" t="s">
        <v>30</v>
      </c>
      <c r="D38" s="72" t="s">
        <v>12</v>
      </c>
      <c r="F38" s="72" t="s">
        <v>168</v>
      </c>
    </row>
    <row r="39" spans="1:17" x14ac:dyDescent="0.25">
      <c r="A39" s="72" t="s">
        <v>30</v>
      </c>
      <c r="D39" s="72" t="s">
        <v>5</v>
      </c>
      <c r="F39" s="72" t="s">
        <v>169</v>
      </c>
    </row>
    <row r="40" spans="1:17" x14ac:dyDescent="0.25">
      <c r="A40" s="72" t="s">
        <v>19</v>
      </c>
      <c r="D40" s="72" t="s">
        <v>49</v>
      </c>
    </row>
    <row r="41" spans="1:17" x14ac:dyDescent="0.25">
      <c r="A41" s="72" t="s">
        <v>19</v>
      </c>
      <c r="F41" s="72" t="s">
        <v>170</v>
      </c>
    </row>
    <row r="42" spans="1:17" x14ac:dyDescent="0.25">
      <c r="A42" s="72" t="s">
        <v>184</v>
      </c>
      <c r="F42" s="72" t="s">
        <v>958</v>
      </c>
    </row>
    <row r="43" spans="1:17" x14ac:dyDescent="0.25">
      <c r="A43" s="72" t="s">
        <v>184</v>
      </c>
      <c r="F43" s="72" t="s">
        <v>960</v>
      </c>
    </row>
    <row r="44" spans="1:17" x14ac:dyDescent="0.25">
      <c r="A44" s="72" t="s">
        <v>184</v>
      </c>
      <c r="F44" s="72" t="s">
        <v>962</v>
      </c>
    </row>
    <row r="45" spans="1:17" x14ac:dyDescent="0.25">
      <c r="A45" s="72" t="s">
        <v>184</v>
      </c>
      <c r="F45" s="72" t="s">
        <v>964</v>
      </c>
    </row>
    <row r="46" spans="1:17" x14ac:dyDescent="0.25">
      <c r="A46" s="72" t="s">
        <v>19</v>
      </c>
    </row>
    <row r="47" spans="1:17" x14ac:dyDescent="0.25">
      <c r="A47" s="72" t="s">
        <v>30</v>
      </c>
      <c r="D47" s="72" t="s">
        <v>50</v>
      </c>
      <c r="F47" s="72" t="s">
        <v>171</v>
      </c>
    </row>
    <row r="48" spans="1:17" x14ac:dyDescent="0.25">
      <c r="A48" s="72" t="s">
        <v>30</v>
      </c>
      <c r="D48" s="72" t="s">
        <v>32</v>
      </c>
    </row>
    <row r="49" spans="1:4" x14ac:dyDescent="0.25">
      <c r="A49" s="72" t="s">
        <v>30</v>
      </c>
      <c r="D49" s="72" t="s">
        <v>51</v>
      </c>
    </row>
    <row r="50" spans="1:4" x14ac:dyDescent="0.25">
      <c r="A50" s="72" t="s">
        <v>30</v>
      </c>
      <c r="D50" s="72" t="s">
        <v>172</v>
      </c>
    </row>
    <row r="51" spans="1:4" x14ac:dyDescent="0.25">
      <c r="A51" s="72" t="s">
        <v>30</v>
      </c>
      <c r="D51" s="72" t="s">
        <v>55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/>
  </sheetViews>
  <sheetFormatPr defaultRowHeight="15" x14ac:dyDescent="0.25"/>
  <sheetData>
    <row r="1" spans="1:26" x14ac:dyDescent="0.25">
      <c r="A1" s="72" t="s">
        <v>1701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493</v>
      </c>
      <c r="E4" s="72" t="s">
        <v>37</v>
      </c>
      <c r="F4" s="72" t="s">
        <v>116</v>
      </c>
      <c r="K4" s="72" t="s">
        <v>42</v>
      </c>
      <c r="M4" s="72" t="s">
        <v>1151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1152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1153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979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45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1154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1155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1156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1157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ht="105" x14ac:dyDescent="0.25">
      <c r="A30" s="72" t="s">
        <v>174</v>
      </c>
      <c r="B30" s="72" t="s">
        <v>236</v>
      </c>
      <c r="C30" s="72" t="s">
        <v>1158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ht="105" x14ac:dyDescent="0.25">
      <c r="A31" s="72" t="s">
        <v>174</v>
      </c>
      <c r="B31" s="72" t="s">
        <v>239</v>
      </c>
      <c r="C31" s="72" t="s">
        <v>1159</v>
      </c>
      <c r="D31" s="72" t="s">
        <v>247</v>
      </c>
      <c r="E31" s="72" t="s">
        <v>252</v>
      </c>
      <c r="F31" s="72" t="s">
        <v>257</v>
      </c>
      <c r="G31" s="73" t="s">
        <v>240</v>
      </c>
      <c r="H31" s="72" t="s">
        <v>262</v>
      </c>
      <c r="I31" s="72" t="s">
        <v>267</v>
      </c>
      <c r="J31" s="72" t="s">
        <v>272</v>
      </c>
      <c r="N31" s="72" t="s">
        <v>241</v>
      </c>
      <c r="O31" s="72" t="s">
        <v>277</v>
      </c>
      <c r="P31" s="72" t="s">
        <v>282</v>
      </c>
      <c r="Q31" s="73" t="s">
        <v>56</v>
      </c>
    </row>
    <row r="32" spans="1:17" ht="105" x14ac:dyDescent="0.25">
      <c r="A32" s="72" t="s">
        <v>174</v>
      </c>
      <c r="B32" s="72" t="s">
        <v>297</v>
      </c>
      <c r="C32" s="72" t="s">
        <v>1160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6" x14ac:dyDescent="0.25">
      <c r="B33" s="72" t="s">
        <v>207</v>
      </c>
    </row>
    <row r="34" spans="1:6" x14ac:dyDescent="0.25">
      <c r="B34" s="72" t="s">
        <v>679</v>
      </c>
      <c r="D34" s="72" t="s">
        <v>166</v>
      </c>
    </row>
    <row r="36" spans="1:6" x14ac:dyDescent="0.25">
      <c r="A36" s="72" t="s">
        <v>30</v>
      </c>
      <c r="D36" s="72" t="s">
        <v>167</v>
      </c>
    </row>
    <row r="37" spans="1:6" x14ac:dyDescent="0.25">
      <c r="A37" s="72" t="s">
        <v>30</v>
      </c>
      <c r="D37" s="72" t="s">
        <v>12</v>
      </c>
      <c r="F37" s="72" t="s">
        <v>168</v>
      </c>
    </row>
    <row r="38" spans="1:6" x14ac:dyDescent="0.25">
      <c r="A38" s="72" t="s">
        <v>30</v>
      </c>
      <c r="D38" s="72" t="s">
        <v>5</v>
      </c>
      <c r="F38" s="72" t="s">
        <v>169</v>
      </c>
    </row>
    <row r="39" spans="1:6" x14ac:dyDescent="0.25">
      <c r="A39" s="72" t="s">
        <v>19</v>
      </c>
      <c r="D39" s="72" t="s">
        <v>49</v>
      </c>
    </row>
    <row r="40" spans="1:6" x14ac:dyDescent="0.25">
      <c r="A40" s="72" t="s">
        <v>19</v>
      </c>
      <c r="F40" s="72" t="s">
        <v>170</v>
      </c>
    </row>
    <row r="41" spans="1:6" x14ac:dyDescent="0.25">
      <c r="A41" s="72" t="s">
        <v>19</v>
      </c>
    </row>
    <row r="42" spans="1:6" x14ac:dyDescent="0.25">
      <c r="A42" s="72" t="s">
        <v>30</v>
      </c>
      <c r="D42" s="72" t="s">
        <v>50</v>
      </c>
      <c r="F42" s="72" t="s">
        <v>171</v>
      </c>
    </row>
    <row r="43" spans="1:6" x14ac:dyDescent="0.25">
      <c r="A43" s="72" t="s">
        <v>30</v>
      </c>
      <c r="D43" s="72" t="s">
        <v>32</v>
      </c>
    </row>
    <row r="44" spans="1:6" x14ac:dyDescent="0.25">
      <c r="A44" s="72" t="s">
        <v>30</v>
      </c>
      <c r="D44" s="72" t="s">
        <v>51</v>
      </c>
    </row>
    <row r="45" spans="1:6" x14ac:dyDescent="0.25">
      <c r="A45" s="72" t="s">
        <v>30</v>
      </c>
      <c r="D45" s="72" t="s">
        <v>172</v>
      </c>
    </row>
    <row r="46" spans="1:6" x14ac:dyDescent="0.25">
      <c r="A46" s="72" t="s">
        <v>30</v>
      </c>
      <c r="D46" s="72" t="s">
        <v>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6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1607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RICHARDSON EAST COC  (008146P)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"008146P"</f>
        <v>008146P</v>
      </c>
      <c r="E4" s="101" t="s">
        <v>37</v>
      </c>
      <c r="F4" s="105" t="str">
        <f>C4</f>
        <v>008146P</v>
      </c>
      <c r="K4" s="101" t="s">
        <v>42</v>
      </c>
      <c r="L4" s="104"/>
      <c r="M4" s="111">
        <f>SUM(I25:I33)</f>
        <v>118</v>
      </c>
    </row>
    <row r="5" spans="1:26" ht="18" customHeight="1" x14ac:dyDescent="0.25">
      <c r="B5" s="76" t="str">
        <f t="shared" si="0"/>
        <v>Show</v>
      </c>
      <c r="C5" s="109" t="s">
        <v>1360</v>
      </c>
      <c r="E5" s="101" t="s">
        <v>36</v>
      </c>
      <c r="F5" s="112" t="s">
        <v>1181</v>
      </c>
      <c r="K5" s="101" t="s">
        <v>43</v>
      </c>
      <c r="L5" s="104"/>
      <c r="M5" s="111">
        <f>ROUND(SUM(O25:O33),0)</f>
        <v>2812</v>
      </c>
    </row>
    <row r="6" spans="1:26" ht="18" customHeight="1" x14ac:dyDescent="0.25">
      <c r="B6" s="76" t="str">
        <f t="shared" si="0"/>
        <v>Show</v>
      </c>
      <c r="C6" s="109" t="s">
        <v>1361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ROUND(COUNT(O25:O33),0)</f>
        <v>8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A108337|A108337|A108337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ITPN-207470|ITPN-207471|ITPN-207470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1360</v>
      </c>
      <c r="E12" s="74" t="s">
        <v>1357</v>
      </c>
      <c r="F12" s="74" t="s">
        <v>1358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Pick"",""2"",""ITPN-207471"""</f>
        <v>"Ceres NTFB Live","NTFB Live","5766","1","Invt. Pick","2","ITPN-207471"</v>
      </c>
      <c r="E13" s="74" t="s">
        <v>1357</v>
      </c>
      <c r="F13" s="74" t="s">
        <v>1359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1357</v>
      </c>
      <c r="E14" s="74" t="str">
        <f>E12</f>
        <v>A108337</v>
      </c>
      <c r="F14" s="74" t="str">
        <f>F12</f>
        <v>ITPN-207470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1792</v>
      </c>
      <c r="F15" s="92" t="s">
        <v>1793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96" t="s">
        <v>79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1364</v>
      </c>
      <c r="D25" s="89" t="str">
        <f>"02-43-01"</f>
        <v>02-43-01</v>
      </c>
      <c r="E25" s="89" t="str">
        <f>"P00161455"</f>
        <v>P00161455</v>
      </c>
      <c r="F25" s="89" t="str">
        <f>"1000000503"</f>
        <v>1000000503</v>
      </c>
      <c r="G25" s="91" t="s">
        <v>1362</v>
      </c>
      <c r="H25" s="90" t="str">
        <f>"GREEN BEANS, ASSORTED CANNED"</f>
        <v>GREEN BEANS, ASSORTED CANNED</v>
      </c>
      <c r="I25" s="89">
        <v>2</v>
      </c>
      <c r="J25" s="89" t="str">
        <f t="shared" ref="J25:J32" si="2">"CS"</f>
        <v>CS</v>
      </c>
      <c r="K25" s="88"/>
      <c r="L25" s="87"/>
      <c r="M25" s="87"/>
      <c r="N25" s="85" t="s">
        <v>179</v>
      </c>
      <c r="O25" s="85">
        <v>44</v>
      </c>
      <c r="P25" s="85" t="str">
        <f>"DRY"</f>
        <v>DRY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32" si="3">IF(I26="","Hide","Show")</f>
        <v>Show</v>
      </c>
      <c r="C26" s="74" t="str">
        <f>"""Ceres NTFB Live"",""NTFB Live"",""5767"",""1"",""Invt. Pick"",""2"",""ITPN-207470"",""3"",""20000"""</f>
        <v>"Ceres NTFB Live","NTFB Live","5767","1","Invt. Pick","2","ITPN-207470","3","20000"</v>
      </c>
      <c r="D26" s="89" t="str">
        <f>"03-02-01"</f>
        <v>03-02-01</v>
      </c>
      <c r="E26" s="89" t="str">
        <f>"P00177839"</f>
        <v>P00177839</v>
      </c>
      <c r="F26" s="89" t="str">
        <f>"1000001305"</f>
        <v>1000001305</v>
      </c>
      <c r="G26" s="91" t="s">
        <v>1362</v>
      </c>
      <c r="H26" s="90" t="str">
        <f>"SAUCE, PACE PICANTE - MEDIUM"</f>
        <v>SAUCE, PACE PICANTE - MEDIUM</v>
      </c>
      <c r="I26" s="89">
        <v>2</v>
      </c>
      <c r="J26" s="89" t="str">
        <f t="shared" si="2"/>
        <v>CS</v>
      </c>
      <c r="K26" s="88"/>
      <c r="L26" s="87"/>
      <c r="M26" s="87"/>
      <c r="N26" s="85" t="s">
        <v>179</v>
      </c>
      <c r="O26" s="85">
        <v>52</v>
      </c>
      <c r="P26" s="85" t="str">
        <f>"DRY"</f>
        <v>DRY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3"/>
        <v>Show</v>
      </c>
      <c r="C27" s="74" t="str">
        <f>"""Ceres NTFB Live"",""NTFB Live"",""5767"",""1"",""Invt. Pick"",""2"",""ITPN-207470"",""3"",""90000"""</f>
        <v>"Ceres NTFB Live","NTFB Live","5767","1","Invt. Pick","2","ITPN-207470","3","90000"</v>
      </c>
      <c r="D27" s="89" t="str">
        <f>"04-19-01"</f>
        <v>04-19-01</v>
      </c>
      <c r="E27" s="89" t="str">
        <f>"P00175555"</f>
        <v>P00175555</v>
      </c>
      <c r="F27" s="89" t="str">
        <f>"1000000503"</f>
        <v>1000000503</v>
      </c>
      <c r="G27" s="91" t="s">
        <v>1362</v>
      </c>
      <c r="H27" s="90" t="str">
        <f>"GREEN BEANS, ASSORTED CANNED"</f>
        <v>GREEN BEANS, ASSORTED CANNED</v>
      </c>
      <c r="I27" s="89">
        <v>18</v>
      </c>
      <c r="J27" s="89" t="str">
        <f t="shared" si="2"/>
        <v>CS</v>
      </c>
      <c r="K27" s="88"/>
      <c r="L27" s="87"/>
      <c r="M27" s="87"/>
      <c r="N27" s="85" t="s">
        <v>179</v>
      </c>
      <c r="O27" s="85">
        <v>396</v>
      </c>
      <c r="P27" s="85" t="str">
        <f>"DRY"</f>
        <v>DRY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3"/>
        <v>Show</v>
      </c>
      <c r="C28" s="74" t="str">
        <f>"""Ceres NTFB Live"",""NTFB Live"",""5767"",""1"",""Invt. Pick"",""2"",""ITPN-207470"",""3"",""40000"""</f>
        <v>"Ceres NTFB Live","NTFB Live","5767","1","Invt. Pick","2","ITPN-207470","3","40000"</v>
      </c>
      <c r="D28" s="89" t="str">
        <f>"04-27-01"</f>
        <v>04-27-01</v>
      </c>
      <c r="E28" s="89" t="str">
        <f>"P00193738"</f>
        <v>P00193738</v>
      </c>
      <c r="F28" s="89" t="str">
        <f>"1000002472"</f>
        <v>1000002472</v>
      </c>
      <c r="G28" s="91" t="s">
        <v>1362</v>
      </c>
      <c r="H28" s="90" t="str">
        <f>"SAUCE, TURKEY GRAVY, CAMPBELL"</f>
        <v>SAUCE, TURKEY GRAVY, CAMPBELL</v>
      </c>
      <c r="I28" s="89">
        <v>30</v>
      </c>
      <c r="J28" s="89" t="str">
        <f t="shared" si="2"/>
        <v>CS</v>
      </c>
      <c r="K28" s="88"/>
      <c r="L28" s="87"/>
      <c r="M28" s="87"/>
      <c r="N28" s="85" t="s">
        <v>179</v>
      </c>
      <c r="O28" s="85">
        <v>750</v>
      </c>
      <c r="P28" s="85" t="str">
        <f>"DRY"</f>
        <v>DRY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si="3"/>
        <v>Show</v>
      </c>
      <c r="C29" s="74" t="str">
        <f>"""Ceres NTFB Live"",""NTFB Live"",""5767"",""1"",""Invt. Pick"",""2"",""ITPN-207470"",""3"",""60000"""</f>
        <v>"Ceres NTFB Live","NTFB Live","5767","1","Invt. Pick","2","ITPN-207470","3","60000"</v>
      </c>
      <c r="D29" s="89" t="str">
        <f>"06-28-01"</f>
        <v>06-28-01</v>
      </c>
      <c r="E29" s="89" t="str">
        <f>"P00194700"</f>
        <v>P00194700</v>
      </c>
      <c r="F29" s="89" t="str">
        <f>"1000000429"</f>
        <v>1000000429</v>
      </c>
      <c r="G29" s="91" t="s">
        <v>1362</v>
      </c>
      <c r="H29" s="90" t="str">
        <f>"USDA CEREAL, CORNFLAKES (449)"</f>
        <v>USDA CEREAL, CORNFLAKES (449)</v>
      </c>
      <c r="I29" s="89">
        <v>16</v>
      </c>
      <c r="J29" s="89" t="str">
        <f t="shared" si="2"/>
        <v>CS</v>
      </c>
      <c r="K29" s="88"/>
      <c r="L29" s="87"/>
      <c r="M29" s="87"/>
      <c r="N29" s="85" t="s">
        <v>179</v>
      </c>
      <c r="O29" s="85">
        <v>240</v>
      </c>
      <c r="P29" s="85" t="str">
        <f>"DRY"</f>
        <v>DRY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3"/>
        <v>Show</v>
      </c>
      <c r="C30" s="74" t="str">
        <f>"""Ceres NTFB Live"",""NTFB Live"",""5767"",""1"",""Invt. Pick"",""2"",""ITPN-207471"",""3"",""110000"""</f>
        <v>"Ceres NTFB Live","NTFB Live","5767","1","Invt. Pick","2","ITPN-207471","3","110000"</v>
      </c>
      <c r="D30" s="89" t="str">
        <f>"33-01-01"</f>
        <v>33-01-01</v>
      </c>
      <c r="E30" s="89" t="str">
        <f>"P00195102"</f>
        <v>P00195102</v>
      </c>
      <c r="F30" s="89" t="str">
        <f>"1000002518"</f>
        <v>1000002518</v>
      </c>
      <c r="G30" s="91" t="s">
        <v>1363</v>
      </c>
      <c r="H30" s="90" t="str">
        <f>"USDA CORN, KERNAL, CANNED"</f>
        <v>USDA CORN, KERNAL, CANNED</v>
      </c>
      <c r="I30" s="89">
        <v>20</v>
      </c>
      <c r="J30" s="89" t="str">
        <f t="shared" si="2"/>
        <v>CS</v>
      </c>
      <c r="K30" s="88"/>
      <c r="L30" s="87"/>
      <c r="M30" s="87"/>
      <c r="N30" s="85" t="s">
        <v>179</v>
      </c>
      <c r="O30" s="85">
        <v>560</v>
      </c>
      <c r="P30" s="85" t="str">
        <f>"DRYUSDA"</f>
        <v>DRYUSDA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si="3"/>
        <v>Show</v>
      </c>
      <c r="C31" s="74" t="str">
        <f>"""Ceres NTFB Live"",""NTFB Live"",""5767"",""1"",""Invt. Pick"",""2"",""ITPN-207471"",""3"",""71000"""</f>
        <v>"Ceres NTFB Live","NTFB Live","5767","1","Invt. Pick","2","ITPN-207471","3","71000"</v>
      </c>
      <c r="D31" s="89" t="str">
        <f>"33-10-01"</f>
        <v>33-10-01</v>
      </c>
      <c r="E31" s="89" t="str">
        <f>"P00195179"</f>
        <v>P00195179</v>
      </c>
      <c r="F31" s="89" t="str">
        <f>"1000000135"</f>
        <v>1000000135</v>
      </c>
      <c r="G31" s="91" t="s">
        <v>1363</v>
      </c>
      <c r="H31" s="90" t="str">
        <f>"USDA SWEET PEAS, CANNED"</f>
        <v>USDA SWEET PEAS, CANNED</v>
      </c>
      <c r="I31" s="89">
        <v>20</v>
      </c>
      <c r="J31" s="89" t="str">
        <f t="shared" si="2"/>
        <v>CS</v>
      </c>
      <c r="K31" s="88"/>
      <c r="L31" s="87"/>
      <c r="M31" s="87"/>
      <c r="N31" s="85" t="s">
        <v>179</v>
      </c>
      <c r="O31" s="85">
        <v>520</v>
      </c>
      <c r="P31" s="85" t="str">
        <f>"DRYUSDA"</f>
        <v>DRYUSDA</v>
      </c>
      <c r="Q31" s="86" t="s">
        <v>56</v>
      </c>
    </row>
    <row r="32" spans="1:17" ht="24.95" customHeight="1" x14ac:dyDescent="0.25">
      <c r="A32" s="74" t="s">
        <v>174</v>
      </c>
      <c r="B32" s="92" t="str">
        <f t="shared" si="3"/>
        <v>Show</v>
      </c>
      <c r="C32" s="74" t="str">
        <f>"""Ceres NTFB Live"",""NTFB Live"",""5767"",""1"",""Invt. Pick"",""2"",""ITPN-207471"",""3"",""130000"""</f>
        <v>"Ceres NTFB Live","NTFB Live","5767","1","Invt. Pick","2","ITPN-207471","3","130000"</v>
      </c>
      <c r="D32" s="89" t="str">
        <f>"33-13-01"</f>
        <v>33-13-01</v>
      </c>
      <c r="E32" s="89" t="str">
        <f>"P00149045"</f>
        <v>P00149045</v>
      </c>
      <c r="F32" s="89" t="str">
        <f>"1000001562"</f>
        <v>1000001562</v>
      </c>
      <c r="G32" s="91" t="s">
        <v>1363</v>
      </c>
      <c r="H32" s="90" t="str">
        <f>"USDA CRANBERRY, JELLIED, CANNED"</f>
        <v>USDA CRANBERRY, JELLIED, CANNED</v>
      </c>
      <c r="I32" s="89">
        <v>10</v>
      </c>
      <c r="J32" s="89" t="str">
        <f t="shared" si="2"/>
        <v>CS</v>
      </c>
      <c r="K32" s="88"/>
      <c r="L32" s="87"/>
      <c r="M32" s="87"/>
      <c r="N32" s="85" t="s">
        <v>179</v>
      </c>
      <c r="O32" s="85">
        <v>250</v>
      </c>
      <c r="P32" s="85" t="str">
        <f>"DRYUSDA"</f>
        <v>DRYUSDA</v>
      </c>
      <c r="Q32" s="86" t="s">
        <v>56</v>
      </c>
    </row>
    <row r="33" spans="1:16" ht="15.75" thickBot="1" x14ac:dyDescent="0.3">
      <c r="B33" s="74" t="str">
        <f>B25</f>
        <v>Show</v>
      </c>
      <c r="H33" s="85"/>
      <c r="I33" s="85"/>
    </row>
    <row r="34" spans="1:16" ht="15.75" thickBot="1" x14ac:dyDescent="0.3">
      <c r="B34" s="74" t="str">
        <f>+B33</f>
        <v>Show</v>
      </c>
      <c r="D34" s="193" t="str">
        <f>+"END OF "&amp;D2</f>
        <v>END OF RICHARDSON EAST COC  (008146P) - DRY|DRYUSDA|MCTF PICK LIST</v>
      </c>
      <c r="E34" s="194"/>
      <c r="F34" s="194"/>
      <c r="G34" s="194"/>
      <c r="H34" s="194"/>
      <c r="I34" s="194"/>
      <c r="J34" s="194"/>
      <c r="K34" s="194"/>
      <c r="L34" s="194"/>
      <c r="M34" s="195"/>
    </row>
    <row r="35" spans="1:16" ht="15.75" thickBot="1" x14ac:dyDescent="0.3"/>
    <row r="36" spans="1:16" ht="80.099999999999994" customHeight="1" thickBot="1" x14ac:dyDescent="0.3">
      <c r="A36" s="76" t="s">
        <v>30</v>
      </c>
      <c r="D36" s="166" t="str">
        <f>+F6</f>
        <v>DELIVER</v>
      </c>
      <c r="E36" s="167"/>
      <c r="F36" s="167"/>
      <c r="G36" s="167"/>
      <c r="H36" s="167"/>
      <c r="I36" s="167"/>
      <c r="J36" s="167"/>
      <c r="K36" s="167"/>
      <c r="L36" s="167"/>
      <c r="M36" s="168"/>
    </row>
    <row r="37" spans="1:16" ht="36.75" x14ac:dyDescent="0.45">
      <c r="A37" s="76" t="s">
        <v>30</v>
      </c>
      <c r="D37" s="176" t="s">
        <v>12</v>
      </c>
      <c r="E37" s="177"/>
      <c r="F37" s="196" t="str">
        <f>+F4</f>
        <v>008146P</v>
      </c>
      <c r="G37" s="196"/>
      <c r="H37" s="196"/>
      <c r="I37" s="196"/>
      <c r="J37" s="196"/>
      <c r="K37" s="196"/>
      <c r="L37" s="196"/>
      <c r="M37" s="197"/>
    </row>
    <row r="38" spans="1:16" ht="37.5" customHeight="1" thickBot="1" x14ac:dyDescent="0.5">
      <c r="A38" s="76" t="s">
        <v>30</v>
      </c>
      <c r="D38" s="158" t="s">
        <v>5</v>
      </c>
      <c r="E38" s="159"/>
      <c r="F38" s="161" t="str">
        <f>+F5</f>
        <v>RICHARDSON EAST COC</v>
      </c>
      <c r="G38" s="161"/>
      <c r="H38" s="161"/>
      <c r="I38" s="161"/>
      <c r="J38" s="161"/>
      <c r="K38" s="161"/>
      <c r="L38" s="161"/>
      <c r="M38" s="162"/>
      <c r="N38" s="84"/>
      <c r="O38" s="84"/>
      <c r="P38" s="84"/>
    </row>
    <row r="39" spans="1:16" ht="33.75" hidden="1" thickBot="1" x14ac:dyDescent="0.45">
      <c r="A39" s="76" t="s">
        <v>19</v>
      </c>
      <c r="D39" s="172" t="s">
        <v>49</v>
      </c>
      <c r="E39" s="173"/>
      <c r="F39" s="82"/>
      <c r="G39" s="83"/>
      <c r="H39" s="82"/>
      <c r="I39" s="82"/>
      <c r="J39" s="82"/>
      <c r="K39" s="82"/>
      <c r="L39" s="82"/>
      <c r="M39" s="81"/>
    </row>
    <row r="40" spans="1:16" ht="30" hidden="1" customHeight="1" x14ac:dyDescent="0.25">
      <c r="A40" s="76" t="s">
        <v>19</v>
      </c>
      <c r="D40" s="80"/>
      <c r="E40" s="78"/>
      <c r="F40" s="174" t="s">
        <v>1357</v>
      </c>
      <c r="G40" s="174"/>
      <c r="H40" s="174"/>
      <c r="I40" s="174"/>
      <c r="J40" s="174"/>
      <c r="K40" s="174"/>
      <c r="L40" s="174"/>
      <c r="M40" s="175"/>
    </row>
    <row r="41" spans="1:16" ht="15.75" hidden="1" customHeight="1" thickBot="1" x14ac:dyDescent="0.3">
      <c r="A41" s="76" t="s">
        <v>19</v>
      </c>
      <c r="D41" s="80"/>
      <c r="E41" s="78"/>
      <c r="F41" s="78"/>
      <c r="G41" s="79"/>
      <c r="H41" s="78"/>
      <c r="I41" s="78"/>
      <c r="J41" s="78"/>
      <c r="K41" s="78"/>
      <c r="L41" s="78"/>
      <c r="M41" s="77"/>
    </row>
    <row r="42" spans="1:16" ht="36.75" x14ac:dyDescent="0.45">
      <c r="A42" s="76" t="s">
        <v>30</v>
      </c>
      <c r="D42" s="176" t="s">
        <v>50</v>
      </c>
      <c r="E42" s="177"/>
      <c r="F42" s="178">
        <f>+F7</f>
        <v>42612</v>
      </c>
      <c r="G42" s="179"/>
      <c r="H42" s="179"/>
      <c r="I42" s="179"/>
      <c r="J42" s="179"/>
      <c r="K42" s="179"/>
      <c r="L42" s="179"/>
      <c r="M42" s="180"/>
    </row>
    <row r="43" spans="1:16" ht="37.5" thickBot="1" x14ac:dyDescent="0.5">
      <c r="A43" s="76" t="s">
        <v>30</v>
      </c>
      <c r="D43" s="158" t="s">
        <v>32</v>
      </c>
      <c r="E43" s="159"/>
      <c r="F43" s="160"/>
      <c r="G43" s="161"/>
      <c r="H43" s="161"/>
      <c r="I43" s="161"/>
      <c r="J43" s="161"/>
      <c r="K43" s="161"/>
      <c r="L43" s="161"/>
      <c r="M43" s="162"/>
    </row>
    <row r="44" spans="1:16" ht="80.099999999999994" customHeight="1" thickBot="1" x14ac:dyDescent="0.3">
      <c r="A44" s="76" t="s">
        <v>30</v>
      </c>
      <c r="D44" s="163" t="s">
        <v>51</v>
      </c>
      <c r="E44" s="164"/>
      <c r="F44" s="164"/>
      <c r="G44" s="164"/>
      <c r="H44" s="164"/>
      <c r="I44" s="164"/>
      <c r="J44" s="164"/>
      <c r="K44" s="164"/>
      <c r="L44" s="164"/>
      <c r="M44" s="165"/>
    </row>
    <row r="45" spans="1:16" ht="90" customHeight="1" thickBot="1" x14ac:dyDescent="0.3">
      <c r="A45" s="76" t="s">
        <v>30</v>
      </c>
      <c r="D45" s="166" t="str">
        <f>IF(F6="DELIVER",G6,F6)</f>
        <v>COLLIN 3</v>
      </c>
      <c r="E45" s="167"/>
      <c r="F45" s="167"/>
      <c r="G45" s="167"/>
      <c r="H45" s="167"/>
      <c r="I45" s="167"/>
      <c r="J45" s="167"/>
      <c r="K45" s="167"/>
      <c r="L45" s="167"/>
      <c r="M45" s="168"/>
    </row>
    <row r="46" spans="1:16" ht="60" customHeight="1" thickBot="1" x14ac:dyDescent="0.3">
      <c r="A46" s="76" t="s">
        <v>30</v>
      </c>
      <c r="D46" s="169" t="s">
        <v>55</v>
      </c>
      <c r="E46" s="170"/>
      <c r="F46" s="170"/>
      <c r="G46" s="170"/>
      <c r="H46" s="170"/>
      <c r="I46" s="170"/>
      <c r="J46" s="170"/>
      <c r="K46" s="170"/>
      <c r="L46" s="170"/>
      <c r="M46" s="171"/>
    </row>
  </sheetData>
  <mergeCells count="17">
    <mergeCell ref="D2:M2"/>
    <mergeCell ref="F16:M18"/>
    <mergeCell ref="D34:M34"/>
    <mergeCell ref="D36:M36"/>
    <mergeCell ref="D37:E37"/>
    <mergeCell ref="F37:M37"/>
    <mergeCell ref="D38:E38"/>
    <mergeCell ref="F38:M38"/>
    <mergeCell ref="D39:E39"/>
    <mergeCell ref="F40:M40"/>
    <mergeCell ref="D42:E42"/>
    <mergeCell ref="F42:M42"/>
    <mergeCell ref="D43:E43"/>
    <mergeCell ref="F43:M43"/>
    <mergeCell ref="D44:M44"/>
    <mergeCell ref="D45:M45"/>
    <mergeCell ref="D46:M46"/>
  </mergeCells>
  <conditionalFormatting sqref="F6">
    <cfRule type="cellIs" dxfId="414" priority="5" operator="equal">
      <formula>"DELIVER"</formula>
    </cfRule>
  </conditionalFormatting>
  <conditionalFormatting sqref="D36">
    <cfRule type="cellIs" dxfId="413" priority="4" operator="equal">
      <formula>"DELIVER"</formula>
    </cfRule>
  </conditionalFormatting>
  <conditionalFormatting sqref="D2:M2">
    <cfRule type="expression" dxfId="412" priority="3">
      <formula>$F$6="DELIVER"</formula>
    </cfRule>
  </conditionalFormatting>
  <conditionalFormatting sqref="G6">
    <cfRule type="expression" dxfId="411" priority="2">
      <formula>$F$6="DELIVER"</formula>
    </cfRule>
  </conditionalFormatting>
  <conditionalFormatting sqref="D45">
    <cfRule type="expression" dxfId="41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4" max="16383" man="1"/>
  </rowBreaks>
  <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1703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809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983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45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/>
  </sheetViews>
  <sheetFormatPr defaultRowHeight="15" x14ac:dyDescent="0.25"/>
  <sheetData>
    <row r="1" spans="1:26" x14ac:dyDescent="0.25">
      <c r="A1" s="72" t="s">
        <v>1705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852</v>
      </c>
      <c r="E4" s="72" t="s">
        <v>37</v>
      </c>
      <c r="F4" s="72" t="s">
        <v>116</v>
      </c>
      <c r="K4" s="72" t="s">
        <v>42</v>
      </c>
      <c r="M4" s="72" t="s">
        <v>717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718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719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990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991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992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994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45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1161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x14ac:dyDescent="0.25">
      <c r="B30" s="72" t="s">
        <v>534</v>
      </c>
    </row>
    <row r="31" spans="1:17" x14ac:dyDescent="0.25">
      <c r="B31" s="72" t="s">
        <v>692</v>
      </c>
      <c r="D31" s="72" t="s">
        <v>166</v>
      </c>
    </row>
    <row r="33" spans="1:6" x14ac:dyDescent="0.25">
      <c r="A33" s="72" t="s">
        <v>30</v>
      </c>
      <c r="D33" s="72" t="s">
        <v>167</v>
      </c>
    </row>
    <row r="34" spans="1:6" x14ac:dyDescent="0.25">
      <c r="A34" s="72" t="s">
        <v>30</v>
      </c>
      <c r="D34" s="72" t="s">
        <v>12</v>
      </c>
      <c r="F34" s="72" t="s">
        <v>168</v>
      </c>
    </row>
    <row r="35" spans="1:6" x14ac:dyDescent="0.25">
      <c r="A35" s="72" t="s">
        <v>30</v>
      </c>
      <c r="D35" s="72" t="s">
        <v>5</v>
      </c>
      <c r="F35" s="72" t="s">
        <v>169</v>
      </c>
    </row>
    <row r="36" spans="1:6" x14ac:dyDescent="0.25">
      <c r="A36" s="72" t="s">
        <v>19</v>
      </c>
      <c r="D36" s="72" t="s">
        <v>49</v>
      </c>
    </row>
    <row r="37" spans="1:6" x14ac:dyDescent="0.25">
      <c r="A37" s="72" t="s">
        <v>19</v>
      </c>
      <c r="F37" s="72" t="s">
        <v>170</v>
      </c>
    </row>
    <row r="38" spans="1:6" x14ac:dyDescent="0.25">
      <c r="A38" s="72" t="s">
        <v>184</v>
      </c>
      <c r="F38" s="72" t="s">
        <v>993</v>
      </c>
    </row>
    <row r="39" spans="1:6" x14ac:dyDescent="0.25">
      <c r="A39" s="72" t="s">
        <v>19</v>
      </c>
    </row>
    <row r="40" spans="1:6" x14ac:dyDescent="0.25">
      <c r="A40" s="72" t="s">
        <v>30</v>
      </c>
      <c r="D40" s="72" t="s">
        <v>50</v>
      </c>
      <c r="F40" s="72" t="s">
        <v>171</v>
      </c>
    </row>
    <row r="41" spans="1:6" x14ac:dyDescent="0.25">
      <c r="A41" s="72" t="s">
        <v>30</v>
      </c>
      <c r="D41" s="72" t="s">
        <v>32</v>
      </c>
    </row>
    <row r="42" spans="1:6" x14ac:dyDescent="0.25">
      <c r="A42" s="72" t="s">
        <v>30</v>
      </c>
      <c r="D42" s="72" t="s">
        <v>51</v>
      </c>
    </row>
    <row r="43" spans="1:6" x14ac:dyDescent="0.25">
      <c r="A43" s="72" t="s">
        <v>30</v>
      </c>
      <c r="D43" s="72" t="s">
        <v>172</v>
      </c>
    </row>
    <row r="44" spans="1:6" x14ac:dyDescent="0.25">
      <c r="A44" s="72" t="s">
        <v>30</v>
      </c>
      <c r="D44" s="72" t="s">
        <v>55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1707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999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1003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45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workbookViewId="0"/>
  </sheetViews>
  <sheetFormatPr defaultRowHeight="15" x14ac:dyDescent="0.25"/>
  <sheetData>
    <row r="1" spans="1:26" x14ac:dyDescent="0.25">
      <c r="A1" s="72" t="s">
        <v>1719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1589</v>
      </c>
      <c r="C2" s="72" t="s">
        <v>7</v>
      </c>
      <c r="D2" s="72" t="s">
        <v>1590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841</v>
      </c>
      <c r="E4" s="72" t="s">
        <v>37</v>
      </c>
      <c r="F4" s="72" t="s">
        <v>116</v>
      </c>
      <c r="K4" s="72" t="s">
        <v>42</v>
      </c>
      <c r="M4" s="72" t="s">
        <v>1709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1710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1711</v>
      </c>
      <c r="W6" s="72" t="s">
        <v>1594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433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1595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152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207</v>
      </c>
      <c r="C13" s="72" t="s">
        <v>1008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225</v>
      </c>
      <c r="C14" s="72" t="s">
        <v>1009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226</v>
      </c>
      <c r="C15" s="72" t="s">
        <v>1010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534</v>
      </c>
      <c r="C16" s="72" t="s">
        <v>1011</v>
      </c>
      <c r="E16" s="72" t="s">
        <v>571</v>
      </c>
      <c r="F16" s="72" t="s">
        <v>575</v>
      </c>
    </row>
    <row r="17" spans="1:8" x14ac:dyDescent="0.25">
      <c r="A17" s="72" t="s">
        <v>173</v>
      </c>
      <c r="B17" s="72" t="s">
        <v>535</v>
      </c>
      <c r="C17" s="72" t="s">
        <v>1012</v>
      </c>
      <c r="E17" s="72" t="s">
        <v>572</v>
      </c>
      <c r="F17" s="72" t="s">
        <v>576</v>
      </c>
    </row>
    <row r="18" spans="1:8" x14ac:dyDescent="0.25">
      <c r="A18" s="72" t="s">
        <v>173</v>
      </c>
      <c r="B18" s="72" t="s">
        <v>536</v>
      </c>
      <c r="C18" s="72" t="s">
        <v>1013</v>
      </c>
      <c r="E18" s="72" t="s">
        <v>573</v>
      </c>
      <c r="F18" s="72" t="s">
        <v>577</v>
      </c>
    </row>
    <row r="19" spans="1:8" x14ac:dyDescent="0.25">
      <c r="A19" s="72" t="s">
        <v>173</v>
      </c>
      <c r="B19" s="72" t="s">
        <v>537</v>
      </c>
      <c r="C19" s="72" t="s">
        <v>1015</v>
      </c>
      <c r="E19" s="72" t="s">
        <v>574</v>
      </c>
      <c r="F19" s="72" t="s">
        <v>578</v>
      </c>
    </row>
    <row r="20" spans="1:8" x14ac:dyDescent="0.25">
      <c r="A20" s="72" t="s">
        <v>173</v>
      </c>
      <c r="B20" s="72" t="s">
        <v>710</v>
      </c>
      <c r="C20" s="72" t="s">
        <v>1017</v>
      </c>
      <c r="E20" s="72" t="s">
        <v>712</v>
      </c>
      <c r="F20" s="72" t="s">
        <v>713</v>
      </c>
    </row>
    <row r="21" spans="1:8" x14ac:dyDescent="0.25">
      <c r="A21" s="72" t="s">
        <v>173</v>
      </c>
      <c r="B21" s="72" t="s">
        <v>1014</v>
      </c>
      <c r="C21" s="72" t="s">
        <v>1019</v>
      </c>
      <c r="E21" s="72" t="s">
        <v>1028</v>
      </c>
      <c r="F21" s="72" t="s">
        <v>1031</v>
      </c>
    </row>
    <row r="22" spans="1:8" x14ac:dyDescent="0.25">
      <c r="A22" s="72" t="s">
        <v>173</v>
      </c>
      <c r="B22" s="72" t="s">
        <v>1016</v>
      </c>
      <c r="C22" s="72" t="s">
        <v>1020</v>
      </c>
      <c r="E22" s="72" t="s">
        <v>1029</v>
      </c>
      <c r="F22" s="72" t="s">
        <v>1032</v>
      </c>
    </row>
    <row r="23" spans="1:8" x14ac:dyDescent="0.25">
      <c r="A23" s="72" t="s">
        <v>173</v>
      </c>
      <c r="B23" s="72" t="s">
        <v>1018</v>
      </c>
      <c r="C23" s="72" t="s">
        <v>1021</v>
      </c>
      <c r="E23" s="72" t="s">
        <v>1030</v>
      </c>
      <c r="F23" s="72" t="s">
        <v>1033</v>
      </c>
    </row>
    <row r="24" spans="1:8" x14ac:dyDescent="0.25">
      <c r="A24" s="72" t="s">
        <v>6</v>
      </c>
      <c r="B24" s="72" t="s">
        <v>207</v>
      </c>
      <c r="C24" s="72" t="s">
        <v>135</v>
      </c>
      <c r="E24" s="72" t="s">
        <v>138</v>
      </c>
      <c r="F24" s="72" t="s">
        <v>139</v>
      </c>
    </row>
    <row r="25" spans="1:8" x14ac:dyDescent="0.25">
      <c r="A25" s="72" t="s">
        <v>6</v>
      </c>
      <c r="B25" s="72" t="s">
        <v>225</v>
      </c>
      <c r="E25" s="72" t="s">
        <v>1596</v>
      </c>
      <c r="F25" s="72" t="s">
        <v>1597</v>
      </c>
    </row>
    <row r="26" spans="1:8" x14ac:dyDescent="0.25">
      <c r="B26" s="72" t="s">
        <v>226</v>
      </c>
      <c r="E26" s="72" t="s">
        <v>20</v>
      </c>
      <c r="F26" s="72" t="s">
        <v>144</v>
      </c>
    </row>
    <row r="27" spans="1:8" x14ac:dyDescent="0.25">
      <c r="B27" s="72" t="s">
        <v>534</v>
      </c>
    </row>
    <row r="28" spans="1:8" x14ac:dyDescent="0.25">
      <c r="B28" s="72" t="s">
        <v>535</v>
      </c>
    </row>
    <row r="29" spans="1:8" x14ac:dyDescent="0.25">
      <c r="B29" s="72" t="s">
        <v>536</v>
      </c>
    </row>
    <row r="30" spans="1:8" x14ac:dyDescent="0.25">
      <c r="B30" s="72" t="s">
        <v>537</v>
      </c>
      <c r="E30" s="72" t="s">
        <v>33</v>
      </c>
      <c r="H30" s="72" t="s">
        <v>53</v>
      </c>
    </row>
    <row r="31" spans="1:8" x14ac:dyDescent="0.25">
      <c r="B31" s="72" t="s">
        <v>710</v>
      </c>
    </row>
    <row r="32" spans="1:8" x14ac:dyDescent="0.25">
      <c r="B32" s="72" t="s">
        <v>1014</v>
      </c>
      <c r="E32" s="72" t="s">
        <v>32</v>
      </c>
      <c r="H32" s="72" t="s">
        <v>54</v>
      </c>
    </row>
    <row r="33" spans="1:17" x14ac:dyDescent="0.25">
      <c r="B33" s="72" t="s">
        <v>1016</v>
      </c>
      <c r="C33" s="72" t="s">
        <v>52</v>
      </c>
      <c r="D33" s="72" t="s">
        <v>52</v>
      </c>
    </row>
    <row r="34" spans="1:17" x14ac:dyDescent="0.25">
      <c r="B34" s="72" t="s">
        <v>1018</v>
      </c>
      <c r="C34" s="72" t="s">
        <v>45</v>
      </c>
      <c r="D34" s="72" t="s">
        <v>28</v>
      </c>
      <c r="E34" s="72" t="s">
        <v>26</v>
      </c>
      <c r="F34" s="72" t="s">
        <v>29</v>
      </c>
      <c r="G34" s="72" t="s">
        <v>57</v>
      </c>
      <c r="H34" s="72" t="s">
        <v>27</v>
      </c>
      <c r="I34" s="72" t="s">
        <v>25</v>
      </c>
      <c r="J34" s="72" t="s">
        <v>10</v>
      </c>
      <c r="K34" s="72" t="s">
        <v>24</v>
      </c>
      <c r="M34" s="72" t="s">
        <v>31</v>
      </c>
      <c r="N34" s="72" t="s">
        <v>21</v>
      </c>
      <c r="O34" s="72" t="s">
        <v>22</v>
      </c>
      <c r="P34" s="72" t="s">
        <v>23</v>
      </c>
    </row>
    <row r="35" spans="1:17" ht="105" x14ac:dyDescent="0.25">
      <c r="B35" s="72" t="s">
        <v>306</v>
      </c>
      <c r="C35" s="72" t="s">
        <v>1598</v>
      </c>
      <c r="D35" s="72" t="s">
        <v>322</v>
      </c>
      <c r="E35" s="72" t="s">
        <v>330</v>
      </c>
      <c r="F35" s="72" t="s">
        <v>338</v>
      </c>
      <c r="G35" s="73" t="s">
        <v>307</v>
      </c>
      <c r="H35" s="72" t="s">
        <v>346</v>
      </c>
      <c r="I35" s="72" t="s">
        <v>354</v>
      </c>
      <c r="J35" s="72" t="s">
        <v>362</v>
      </c>
      <c r="N35" s="72" t="s">
        <v>308</v>
      </c>
      <c r="O35" s="72" t="s">
        <v>370</v>
      </c>
      <c r="P35" s="72" t="s">
        <v>378</v>
      </c>
      <c r="Q35" s="73" t="s">
        <v>56</v>
      </c>
    </row>
    <row r="36" spans="1:17" ht="105" x14ac:dyDescent="0.25">
      <c r="A36" s="72" t="s">
        <v>174</v>
      </c>
      <c r="B36" s="72" t="s">
        <v>309</v>
      </c>
      <c r="C36" s="72" t="s">
        <v>1712</v>
      </c>
      <c r="D36" s="72" t="s">
        <v>323</v>
      </c>
      <c r="E36" s="72" t="s">
        <v>331</v>
      </c>
      <c r="F36" s="72" t="s">
        <v>339</v>
      </c>
      <c r="G36" s="73" t="s">
        <v>310</v>
      </c>
      <c r="H36" s="72" t="s">
        <v>347</v>
      </c>
      <c r="I36" s="72" t="s">
        <v>355</v>
      </c>
      <c r="J36" s="72" t="s">
        <v>363</v>
      </c>
      <c r="N36" s="72" t="s">
        <v>311</v>
      </c>
      <c r="O36" s="72" t="s">
        <v>371</v>
      </c>
      <c r="P36" s="72" t="s">
        <v>379</v>
      </c>
      <c r="Q36" s="73" t="s">
        <v>56</v>
      </c>
    </row>
    <row r="37" spans="1:17" ht="105" x14ac:dyDescent="0.25">
      <c r="A37" s="72" t="s">
        <v>174</v>
      </c>
      <c r="B37" s="72" t="s">
        <v>312</v>
      </c>
      <c r="C37" s="72" t="s">
        <v>1713</v>
      </c>
      <c r="D37" s="72" t="s">
        <v>324</v>
      </c>
      <c r="E37" s="72" t="s">
        <v>332</v>
      </c>
      <c r="F37" s="72" t="s">
        <v>340</v>
      </c>
      <c r="G37" s="73" t="s">
        <v>313</v>
      </c>
      <c r="H37" s="72" t="s">
        <v>348</v>
      </c>
      <c r="I37" s="72" t="s">
        <v>356</v>
      </c>
      <c r="J37" s="72" t="s">
        <v>364</v>
      </c>
      <c r="N37" s="72" t="s">
        <v>314</v>
      </c>
      <c r="O37" s="72" t="s">
        <v>372</v>
      </c>
      <c r="P37" s="72" t="s">
        <v>380</v>
      </c>
      <c r="Q37" s="73" t="s">
        <v>56</v>
      </c>
    </row>
    <row r="38" spans="1:17" ht="105" x14ac:dyDescent="0.25">
      <c r="A38" s="72" t="s">
        <v>174</v>
      </c>
      <c r="B38" s="72" t="s">
        <v>315</v>
      </c>
      <c r="C38" s="72" t="s">
        <v>1714</v>
      </c>
      <c r="D38" s="72" t="s">
        <v>325</v>
      </c>
      <c r="E38" s="72" t="s">
        <v>333</v>
      </c>
      <c r="F38" s="72" t="s">
        <v>341</v>
      </c>
      <c r="G38" s="73" t="s">
        <v>316</v>
      </c>
      <c r="H38" s="72" t="s">
        <v>349</v>
      </c>
      <c r="I38" s="72" t="s">
        <v>357</v>
      </c>
      <c r="J38" s="72" t="s">
        <v>365</v>
      </c>
      <c r="N38" s="72" t="s">
        <v>317</v>
      </c>
      <c r="O38" s="72" t="s">
        <v>373</v>
      </c>
      <c r="P38" s="72" t="s">
        <v>381</v>
      </c>
      <c r="Q38" s="73" t="s">
        <v>56</v>
      </c>
    </row>
    <row r="39" spans="1:17" ht="105" x14ac:dyDescent="0.25">
      <c r="A39" s="72" t="s">
        <v>174</v>
      </c>
      <c r="B39" s="72" t="s">
        <v>538</v>
      </c>
      <c r="C39" s="72" t="s">
        <v>1715</v>
      </c>
      <c r="D39" s="72" t="s">
        <v>579</v>
      </c>
      <c r="E39" s="72" t="s">
        <v>590</v>
      </c>
      <c r="F39" s="72" t="s">
        <v>601</v>
      </c>
      <c r="G39" s="73" t="s">
        <v>539</v>
      </c>
      <c r="H39" s="72" t="s">
        <v>612</v>
      </c>
      <c r="I39" s="72" t="s">
        <v>623</v>
      </c>
      <c r="J39" s="72" t="s">
        <v>634</v>
      </c>
      <c r="N39" s="72" t="s">
        <v>540</v>
      </c>
      <c r="O39" s="72" t="s">
        <v>645</v>
      </c>
      <c r="P39" s="72" t="s">
        <v>656</v>
      </c>
      <c r="Q39" s="73" t="s">
        <v>56</v>
      </c>
    </row>
    <row r="40" spans="1:17" ht="105" x14ac:dyDescent="0.25">
      <c r="A40" s="72" t="s">
        <v>174</v>
      </c>
      <c r="B40" s="72" t="s">
        <v>541</v>
      </c>
      <c r="C40" s="72" t="s">
        <v>1716</v>
      </c>
      <c r="D40" s="72" t="s">
        <v>580</v>
      </c>
      <c r="E40" s="72" t="s">
        <v>591</v>
      </c>
      <c r="F40" s="72" t="s">
        <v>602</v>
      </c>
      <c r="G40" s="73" t="s">
        <v>542</v>
      </c>
      <c r="H40" s="72" t="s">
        <v>613</v>
      </c>
      <c r="I40" s="72" t="s">
        <v>624</v>
      </c>
      <c r="J40" s="72" t="s">
        <v>635</v>
      </c>
      <c r="N40" s="72" t="s">
        <v>543</v>
      </c>
      <c r="O40" s="72" t="s">
        <v>646</v>
      </c>
      <c r="P40" s="72" t="s">
        <v>657</v>
      </c>
      <c r="Q40" s="73" t="s">
        <v>56</v>
      </c>
    </row>
    <row r="41" spans="1:17" ht="105" x14ac:dyDescent="0.25">
      <c r="A41" s="72" t="s">
        <v>174</v>
      </c>
      <c r="B41" s="72" t="s">
        <v>544</v>
      </c>
      <c r="C41" s="72" t="s">
        <v>1717</v>
      </c>
      <c r="D41" s="72" t="s">
        <v>581</v>
      </c>
      <c r="E41" s="72" t="s">
        <v>592</v>
      </c>
      <c r="F41" s="72" t="s">
        <v>603</v>
      </c>
      <c r="G41" s="73" t="s">
        <v>545</v>
      </c>
      <c r="H41" s="72" t="s">
        <v>614</v>
      </c>
      <c r="I41" s="72" t="s">
        <v>625</v>
      </c>
      <c r="J41" s="72" t="s">
        <v>636</v>
      </c>
      <c r="N41" s="72" t="s">
        <v>546</v>
      </c>
      <c r="O41" s="72" t="s">
        <v>647</v>
      </c>
      <c r="P41" s="72" t="s">
        <v>658</v>
      </c>
      <c r="Q41" s="73" t="s">
        <v>56</v>
      </c>
    </row>
    <row r="42" spans="1:17" ht="105" x14ac:dyDescent="0.25">
      <c r="A42" s="72" t="s">
        <v>174</v>
      </c>
      <c r="B42" s="72" t="s">
        <v>547</v>
      </c>
      <c r="C42" s="72" t="s">
        <v>1718</v>
      </c>
      <c r="D42" s="72" t="s">
        <v>582</v>
      </c>
      <c r="E42" s="72" t="s">
        <v>593</v>
      </c>
      <c r="F42" s="72" t="s">
        <v>604</v>
      </c>
      <c r="G42" s="73" t="s">
        <v>548</v>
      </c>
      <c r="H42" s="72" t="s">
        <v>615</v>
      </c>
      <c r="I42" s="72" t="s">
        <v>626</v>
      </c>
      <c r="J42" s="72" t="s">
        <v>637</v>
      </c>
      <c r="N42" s="72" t="s">
        <v>549</v>
      </c>
      <c r="O42" s="72" t="s">
        <v>648</v>
      </c>
      <c r="P42" s="72" t="s">
        <v>659</v>
      </c>
      <c r="Q42" s="73" t="s">
        <v>56</v>
      </c>
    </row>
    <row r="43" spans="1:17" x14ac:dyDescent="0.25">
      <c r="B43" s="72" t="s">
        <v>1018</v>
      </c>
    </row>
    <row r="44" spans="1:17" x14ac:dyDescent="0.25">
      <c r="B44" s="72" t="s">
        <v>703</v>
      </c>
      <c r="D44" s="72" t="s">
        <v>166</v>
      </c>
    </row>
    <row r="46" spans="1:17" x14ac:dyDescent="0.25">
      <c r="A46" s="72" t="s">
        <v>30</v>
      </c>
      <c r="D46" s="72" t="s">
        <v>167</v>
      </c>
    </row>
    <row r="47" spans="1:17" x14ac:dyDescent="0.25">
      <c r="A47" s="72" t="s">
        <v>30</v>
      </c>
      <c r="D47" s="72" t="s">
        <v>12</v>
      </c>
      <c r="F47" s="72" t="s">
        <v>168</v>
      </c>
    </row>
    <row r="48" spans="1:17" x14ac:dyDescent="0.25">
      <c r="A48" s="72" t="s">
        <v>30</v>
      </c>
      <c r="D48" s="72" t="s">
        <v>5</v>
      </c>
      <c r="F48" s="72" t="s">
        <v>169</v>
      </c>
    </row>
    <row r="49" spans="1:6" x14ac:dyDescent="0.25">
      <c r="A49" s="72" t="s">
        <v>19</v>
      </c>
      <c r="D49" s="72" t="s">
        <v>49</v>
      </c>
    </row>
    <row r="50" spans="1:6" x14ac:dyDescent="0.25">
      <c r="A50" s="72" t="s">
        <v>19</v>
      </c>
      <c r="F50" s="72" t="s">
        <v>170</v>
      </c>
    </row>
    <row r="51" spans="1:6" x14ac:dyDescent="0.25">
      <c r="A51" s="72" t="s">
        <v>184</v>
      </c>
      <c r="F51" s="72" t="s">
        <v>1022</v>
      </c>
    </row>
    <row r="52" spans="1:6" x14ac:dyDescent="0.25">
      <c r="A52" s="72" t="s">
        <v>184</v>
      </c>
      <c r="F52" s="72" t="s">
        <v>1023</v>
      </c>
    </row>
    <row r="53" spans="1:6" x14ac:dyDescent="0.25">
      <c r="A53" s="72" t="s">
        <v>184</v>
      </c>
      <c r="F53" s="72" t="s">
        <v>1024</v>
      </c>
    </row>
    <row r="54" spans="1:6" x14ac:dyDescent="0.25">
      <c r="A54" s="72" t="s">
        <v>184</v>
      </c>
      <c r="F54" s="72" t="s">
        <v>1025</v>
      </c>
    </row>
    <row r="55" spans="1:6" x14ac:dyDescent="0.25">
      <c r="A55" s="72" t="s">
        <v>184</v>
      </c>
      <c r="F55" s="72" t="s">
        <v>1026</v>
      </c>
    </row>
    <row r="56" spans="1:6" x14ac:dyDescent="0.25">
      <c r="A56" s="72" t="s">
        <v>184</v>
      </c>
      <c r="F56" s="72" t="s">
        <v>1027</v>
      </c>
    </row>
    <row r="57" spans="1:6" x14ac:dyDescent="0.25">
      <c r="A57" s="72" t="s">
        <v>19</v>
      </c>
    </row>
    <row r="58" spans="1:6" x14ac:dyDescent="0.25">
      <c r="A58" s="72" t="s">
        <v>30</v>
      </c>
      <c r="D58" s="72" t="s">
        <v>50</v>
      </c>
      <c r="F58" s="72" t="s">
        <v>171</v>
      </c>
    </row>
    <row r="59" spans="1:6" x14ac:dyDescent="0.25">
      <c r="A59" s="72" t="s">
        <v>30</v>
      </c>
      <c r="D59" s="72" t="s">
        <v>32</v>
      </c>
    </row>
    <row r="60" spans="1:6" x14ac:dyDescent="0.25">
      <c r="A60" s="72" t="s">
        <v>30</v>
      </c>
      <c r="D60" s="72" t="s">
        <v>51</v>
      </c>
    </row>
    <row r="61" spans="1:6" x14ac:dyDescent="0.25">
      <c r="A61" s="72" t="s">
        <v>30</v>
      </c>
      <c r="D61" s="72" t="s">
        <v>172</v>
      </c>
    </row>
    <row r="62" spans="1:6" x14ac:dyDescent="0.25">
      <c r="A62" s="72" t="s">
        <v>30</v>
      </c>
      <c r="D62" s="72" t="s">
        <v>55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1721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847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1034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45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1723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816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1038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45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1725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1046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45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1727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833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45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RowHeight="15" x14ac:dyDescent="0.25"/>
  <sheetData>
    <row r="1" spans="1:26" x14ac:dyDescent="0.25">
      <c r="A1" s="72" t="s">
        <v>1729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518</v>
      </c>
      <c r="E4" s="72" t="s">
        <v>37</v>
      </c>
      <c r="F4" s="72" t="s">
        <v>116</v>
      </c>
      <c r="K4" s="72" t="s">
        <v>42</v>
      </c>
      <c r="M4" s="72" t="s">
        <v>693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694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695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1066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1067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45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1162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x14ac:dyDescent="0.25">
      <c r="B28" s="72" t="s">
        <v>225</v>
      </c>
    </row>
    <row r="29" spans="1:17" x14ac:dyDescent="0.25">
      <c r="B29" s="72" t="s">
        <v>283</v>
      </c>
      <c r="D29" s="72" t="s">
        <v>166</v>
      </c>
    </row>
    <row r="31" spans="1:17" x14ac:dyDescent="0.25">
      <c r="A31" s="72" t="s">
        <v>30</v>
      </c>
      <c r="D31" s="72" t="s">
        <v>167</v>
      </c>
    </row>
    <row r="32" spans="1:17" x14ac:dyDescent="0.25">
      <c r="A32" s="72" t="s">
        <v>30</v>
      </c>
      <c r="D32" s="72" t="s">
        <v>12</v>
      </c>
      <c r="F32" s="72" t="s">
        <v>168</v>
      </c>
    </row>
    <row r="33" spans="1:6" x14ac:dyDescent="0.25">
      <c r="A33" s="72" t="s">
        <v>30</v>
      </c>
      <c r="D33" s="72" t="s">
        <v>5</v>
      </c>
      <c r="F33" s="72" t="s">
        <v>169</v>
      </c>
    </row>
    <row r="34" spans="1:6" x14ac:dyDescent="0.25">
      <c r="A34" s="72" t="s">
        <v>19</v>
      </c>
      <c r="D34" s="72" t="s">
        <v>49</v>
      </c>
    </row>
    <row r="35" spans="1:6" x14ac:dyDescent="0.25">
      <c r="A35" s="72" t="s">
        <v>19</v>
      </c>
      <c r="F35" s="72" t="s">
        <v>170</v>
      </c>
    </row>
    <row r="36" spans="1:6" x14ac:dyDescent="0.25">
      <c r="A36" s="72" t="s">
        <v>19</v>
      </c>
    </row>
    <row r="37" spans="1:6" x14ac:dyDescent="0.25">
      <c r="A37" s="72" t="s">
        <v>30</v>
      </c>
      <c r="D37" s="72" t="s">
        <v>50</v>
      </c>
      <c r="F37" s="72" t="s">
        <v>171</v>
      </c>
    </row>
    <row r="38" spans="1:6" x14ac:dyDescent="0.25">
      <c r="A38" s="72" t="s">
        <v>30</v>
      </c>
      <c r="D38" s="72" t="s">
        <v>32</v>
      </c>
    </row>
    <row r="39" spans="1:6" x14ac:dyDescent="0.25">
      <c r="A39" s="72" t="s">
        <v>30</v>
      </c>
      <c r="D39" s="72" t="s">
        <v>51</v>
      </c>
    </row>
    <row r="40" spans="1:6" x14ac:dyDescent="0.25">
      <c r="A40" s="72" t="s">
        <v>30</v>
      </c>
      <c r="D40" s="72" t="s">
        <v>172</v>
      </c>
    </row>
    <row r="41" spans="1:6" x14ac:dyDescent="0.25">
      <c r="A41" s="72" t="s">
        <v>30</v>
      </c>
      <c r="D41" s="72" t="s">
        <v>55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/>
  </sheetViews>
  <sheetFormatPr defaultRowHeight="15" x14ac:dyDescent="0.25"/>
  <sheetData>
    <row r="1" spans="1:26" x14ac:dyDescent="0.25">
      <c r="A1" s="72" t="s">
        <v>1731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798</v>
      </c>
      <c r="E4" s="72" t="s">
        <v>37</v>
      </c>
      <c r="F4" s="72" t="s">
        <v>116</v>
      </c>
      <c r="K4" s="72" t="s">
        <v>42</v>
      </c>
      <c r="M4" s="72" t="s">
        <v>689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690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691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1070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1071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45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1163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1164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ht="105" x14ac:dyDescent="0.25">
      <c r="A29" s="72" t="s">
        <v>174</v>
      </c>
      <c r="B29" s="72" t="s">
        <v>233</v>
      </c>
      <c r="C29" s="72" t="s">
        <v>1165</v>
      </c>
      <c r="D29" s="72" t="s">
        <v>245</v>
      </c>
      <c r="E29" s="72" t="s">
        <v>250</v>
      </c>
      <c r="F29" s="72" t="s">
        <v>255</v>
      </c>
      <c r="G29" s="73" t="s">
        <v>234</v>
      </c>
      <c r="H29" s="72" t="s">
        <v>260</v>
      </c>
      <c r="I29" s="72" t="s">
        <v>265</v>
      </c>
      <c r="J29" s="72" t="s">
        <v>270</v>
      </c>
      <c r="N29" s="72" t="s">
        <v>235</v>
      </c>
      <c r="O29" s="72" t="s">
        <v>275</v>
      </c>
      <c r="P29" s="72" t="s">
        <v>280</v>
      </c>
      <c r="Q29" s="73" t="s">
        <v>56</v>
      </c>
    </row>
    <row r="30" spans="1:17" x14ac:dyDescent="0.25">
      <c r="B30" s="72" t="s">
        <v>225</v>
      </c>
    </row>
    <row r="31" spans="1:17" x14ac:dyDescent="0.25">
      <c r="B31" s="72" t="s">
        <v>692</v>
      </c>
      <c r="D31" s="72" t="s">
        <v>166</v>
      </c>
    </row>
    <row r="33" spans="1:6" x14ac:dyDescent="0.25">
      <c r="A33" s="72" t="s">
        <v>30</v>
      </c>
      <c r="D33" s="72" t="s">
        <v>167</v>
      </c>
    </row>
    <row r="34" spans="1:6" x14ac:dyDescent="0.25">
      <c r="A34" s="72" t="s">
        <v>30</v>
      </c>
      <c r="D34" s="72" t="s">
        <v>12</v>
      </c>
      <c r="F34" s="72" t="s">
        <v>168</v>
      </c>
    </row>
    <row r="35" spans="1:6" x14ac:dyDescent="0.25">
      <c r="A35" s="72" t="s">
        <v>30</v>
      </c>
      <c r="D35" s="72" t="s">
        <v>5</v>
      </c>
      <c r="F35" s="72" t="s">
        <v>169</v>
      </c>
    </row>
    <row r="36" spans="1:6" x14ac:dyDescent="0.25">
      <c r="A36" s="72" t="s">
        <v>19</v>
      </c>
      <c r="D36" s="72" t="s">
        <v>49</v>
      </c>
    </row>
    <row r="37" spans="1:6" x14ac:dyDescent="0.25">
      <c r="A37" s="72" t="s">
        <v>19</v>
      </c>
      <c r="F37" s="72" t="s">
        <v>170</v>
      </c>
    </row>
    <row r="38" spans="1:6" x14ac:dyDescent="0.25">
      <c r="A38" s="72" t="s">
        <v>184</v>
      </c>
      <c r="F38" s="72" t="s">
        <v>1074</v>
      </c>
    </row>
    <row r="39" spans="1:6" x14ac:dyDescent="0.25">
      <c r="A39" s="72" t="s">
        <v>19</v>
      </c>
    </row>
    <row r="40" spans="1:6" x14ac:dyDescent="0.25">
      <c r="A40" s="72" t="s">
        <v>30</v>
      </c>
      <c r="D40" s="72" t="s">
        <v>50</v>
      </c>
      <c r="F40" s="72" t="s">
        <v>171</v>
      </c>
    </row>
    <row r="41" spans="1:6" x14ac:dyDescent="0.25">
      <c r="A41" s="72" t="s">
        <v>30</v>
      </c>
      <c r="D41" s="72" t="s">
        <v>32</v>
      </c>
    </row>
    <row r="42" spans="1:6" x14ac:dyDescent="0.25">
      <c r="A42" s="72" t="s">
        <v>30</v>
      </c>
      <c r="D42" s="72" t="s">
        <v>51</v>
      </c>
    </row>
    <row r="43" spans="1:6" x14ac:dyDescent="0.25">
      <c r="A43" s="72" t="s">
        <v>30</v>
      </c>
      <c r="D43" s="72" t="s">
        <v>172</v>
      </c>
    </row>
    <row r="44" spans="1:6" x14ac:dyDescent="0.25">
      <c r="A44" s="72" t="s">
        <v>30</v>
      </c>
      <c r="D44" s="72" t="s">
        <v>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1609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/>
      </c>
      <c r="C2" s="74" t="s">
        <v>7</v>
      </c>
      <c r="D2" s="181" t="str">
        <f>IF(E24="",F5&amp;"  ("&amp;F4&amp;") - NO "&amp;C23,F5&amp;"  ("&amp;F4&amp;") - "&amp;C23&amp;" PICK LIST")</f>
        <v>CARROLLTON FRIENDSHIP HOUSE  (026030P)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"026030P"</f>
        <v>026030P</v>
      </c>
      <c r="E4" s="101" t="s">
        <v>37</v>
      </c>
      <c r="F4" s="105" t="str">
        <f>C4</f>
        <v>026030P</v>
      </c>
      <c r="K4" s="101" t="s">
        <v>42</v>
      </c>
      <c r="L4" s="104"/>
      <c r="M4" s="111">
        <f>SUM(I24:I27)</f>
        <v>32</v>
      </c>
    </row>
    <row r="5" spans="1:26" ht="18" customHeight="1" x14ac:dyDescent="0.25">
      <c r="B5" s="76" t="str">
        <f t="shared" si="0"/>
        <v>Show</v>
      </c>
      <c r="C5" s="109" t="s">
        <v>1372</v>
      </c>
      <c r="E5" s="101" t="s">
        <v>36</v>
      </c>
      <c r="F5" s="112" t="s">
        <v>1177</v>
      </c>
      <c r="K5" s="101" t="s">
        <v>43</v>
      </c>
      <c r="L5" s="104"/>
      <c r="M5" s="111">
        <f>ROUND(SUM(O24:O27),0)</f>
        <v>636</v>
      </c>
    </row>
    <row r="6" spans="1:26" ht="18" customHeight="1" x14ac:dyDescent="0.25">
      <c r="B6" s="76" t="str">
        <f t="shared" si="0"/>
        <v>Show</v>
      </c>
      <c r="C6" s="109" t="s">
        <v>1377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ROUND(COUNT(O24:O27),0)</f>
        <v>3</v>
      </c>
      <c r="P6" s="101"/>
      <c r="W6" s="101" t="str">
        <f>"ESTIMATED "&amp;O23&amp;"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E14</f>
        <v>A108219|A108219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F14</f>
        <v>ITPN-207453|ITPN-207453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 t="shared" si="0"/>
        <v>Show</v>
      </c>
      <c r="C12" s="74" t="s">
        <v>1372</v>
      </c>
      <c r="E12" s="74" t="s">
        <v>1365</v>
      </c>
      <c r="F12" s="74" t="s">
        <v>1373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6</v>
      </c>
      <c r="B13" s="76" t="str">
        <f t="shared" si="0"/>
        <v>Show</v>
      </c>
      <c r="C13" s="74" t="s">
        <v>1365</v>
      </c>
      <c r="E13" s="74" t="str">
        <f>E12</f>
        <v>A108219</v>
      </c>
      <c r="F13" s="74" t="str">
        <f>F12</f>
        <v>ITPN-207453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si="0"/>
        <v>Show</v>
      </c>
      <c r="E14" s="92" t="s">
        <v>1374</v>
      </c>
      <c r="F14" s="92" t="s">
        <v>1375</v>
      </c>
      <c r="I14" s="98"/>
      <c r="J14" s="98"/>
      <c r="K14" s="98"/>
      <c r="L14" s="98"/>
      <c r="M14" s="98"/>
    </row>
    <row r="15" spans="1:26" x14ac:dyDescent="0.25">
      <c r="B15" s="76" t="str">
        <f t="shared" si="0"/>
        <v>Show</v>
      </c>
      <c r="E15" s="101" t="s">
        <v>20</v>
      </c>
      <c r="F15" s="184" t="s">
        <v>1376</v>
      </c>
      <c r="G15" s="185"/>
      <c r="H15" s="185"/>
      <c r="I15" s="185"/>
      <c r="J15" s="185"/>
      <c r="K15" s="185"/>
      <c r="L15" s="185"/>
      <c r="M15" s="186"/>
    </row>
    <row r="16" spans="1:26" x14ac:dyDescent="0.25">
      <c r="B16" s="76" t="str">
        <f t="shared" si="0"/>
        <v>Show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thickBot="1" x14ac:dyDescent="0.3">
      <c r="B17" s="76" t="str">
        <f t="shared" si="0"/>
        <v>Show</v>
      </c>
      <c r="F17" s="190"/>
      <c r="G17" s="191"/>
      <c r="H17" s="191"/>
      <c r="I17" s="191"/>
      <c r="J17" s="191"/>
      <c r="K17" s="191"/>
      <c r="L17" s="191"/>
      <c r="M17" s="192"/>
    </row>
    <row r="18" spans="1:17" x14ac:dyDescent="0.25">
      <c r="B18" s="76" t="str">
        <f t="shared" si="0"/>
        <v>Show</v>
      </c>
    </row>
    <row r="19" spans="1:17" x14ac:dyDescent="0.25">
      <c r="B19" s="76" t="str">
        <f t="shared" si="0"/>
        <v>Show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x14ac:dyDescent="0.25">
      <c r="B20" s="76" t="str">
        <f t="shared" si="0"/>
        <v>Show</v>
      </c>
      <c r="E20" s="101"/>
    </row>
    <row r="21" spans="1:17" x14ac:dyDescent="0.25">
      <c r="B21" s="76" t="str">
        <f t="shared" si="0"/>
        <v>Show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x14ac:dyDescent="0.25">
      <c r="B22" s="76" t="str">
        <f t="shared" si="0"/>
        <v>Show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customHeight="1" x14ac:dyDescent="0.25">
      <c r="A23" s="97"/>
      <c r="B23" s="76" t="str">
        <f t="shared" si="0"/>
        <v>Show</v>
      </c>
      <c r="C23" s="96" t="s">
        <v>79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customHeight="1" x14ac:dyDescent="0.25">
      <c r="B24" s="92" t="str">
        <f>IF(I24="","Hide","Show")</f>
        <v>Show</v>
      </c>
      <c r="C24" s="74" t="s">
        <v>1378</v>
      </c>
      <c r="D24" s="89" t="s">
        <v>756</v>
      </c>
      <c r="E24" s="89" t="s">
        <v>1366</v>
      </c>
      <c r="F24" s="89" t="s">
        <v>743</v>
      </c>
      <c r="G24" s="91" t="s">
        <v>1367</v>
      </c>
      <c r="H24" s="90" t="s">
        <v>744</v>
      </c>
      <c r="I24" s="89">
        <v>12</v>
      </c>
      <c r="J24" s="89" t="s">
        <v>286</v>
      </c>
      <c r="K24" s="88"/>
      <c r="L24" s="87"/>
      <c r="M24" s="87"/>
      <c r="N24" s="85" t="s">
        <v>179</v>
      </c>
      <c r="O24" s="85">
        <v>288</v>
      </c>
      <c r="P24" s="85" t="s">
        <v>742</v>
      </c>
      <c r="Q24" s="86" t="s">
        <v>56</v>
      </c>
    </row>
    <row r="25" spans="1:17" ht="24.95" customHeight="1" x14ac:dyDescent="0.25">
      <c r="A25" s="74" t="s">
        <v>174</v>
      </c>
      <c r="B25" s="92" t="str">
        <f t="shared" ref="B25:B26" si="1">IF(I25="","Hide","Show")</f>
        <v>Show</v>
      </c>
      <c r="C25" s="74" t="str">
        <f>"""Ceres NTFB Live"",""NTFB Live"",""5767"",""1"",""Invt. Pick"",""2"",""ITPN-207453"",""3"",""60000"""</f>
        <v>"Ceres NTFB Live","NTFB Live","5767","1","Invt. Pick","2","ITPN-207453","3","60000"</v>
      </c>
      <c r="D25" s="89" t="s">
        <v>1368</v>
      </c>
      <c r="E25" s="89" t="s">
        <v>1369</v>
      </c>
      <c r="F25" s="89" t="s">
        <v>1370</v>
      </c>
      <c r="G25" s="91" t="s">
        <v>1367</v>
      </c>
      <c r="H25" s="90" t="s">
        <v>1371</v>
      </c>
      <c r="I25" s="89">
        <v>8</v>
      </c>
      <c r="J25" s="89" t="s">
        <v>286</v>
      </c>
      <c r="K25" s="88"/>
      <c r="L25" s="87"/>
      <c r="M25" s="87"/>
      <c r="N25" s="85" t="s">
        <v>179</v>
      </c>
      <c r="O25" s="85">
        <v>180</v>
      </c>
      <c r="P25" s="85" t="s">
        <v>742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si="1"/>
        <v>Show</v>
      </c>
      <c r="C26" s="74" t="str">
        <f>"""Ceres NTFB Live"",""NTFB Live"",""5767"",""1"",""Invt. Pick"",""2"",""ITPN-207453"",""3"",""40000"""</f>
        <v>"Ceres NTFB Live","NTFB Live","5767","1","Invt. Pick","2","ITPN-207453","3","40000"</v>
      </c>
      <c r="D26" s="89" t="s">
        <v>1218</v>
      </c>
      <c r="E26" s="89" t="s">
        <v>1219</v>
      </c>
      <c r="F26" s="89" t="s">
        <v>746</v>
      </c>
      <c r="G26" s="91" t="s">
        <v>1367</v>
      </c>
      <c r="H26" s="90" t="s">
        <v>747</v>
      </c>
      <c r="I26" s="89">
        <v>12</v>
      </c>
      <c r="J26" s="89" t="s">
        <v>286</v>
      </c>
      <c r="K26" s="88"/>
      <c r="L26" s="87"/>
      <c r="M26" s="87"/>
      <c r="N26" s="85" t="s">
        <v>179</v>
      </c>
      <c r="O26" s="85">
        <v>168</v>
      </c>
      <c r="P26" s="85" t="s">
        <v>742</v>
      </c>
      <c r="Q26" s="86" t="s">
        <v>56</v>
      </c>
    </row>
    <row r="27" spans="1:17" ht="15.75" thickBot="1" x14ac:dyDescent="0.3">
      <c r="B27" s="74" t="str">
        <f>B24</f>
        <v>Show</v>
      </c>
      <c r="H27" s="85"/>
      <c r="I27" s="85"/>
    </row>
    <row r="28" spans="1:17" ht="15.75" thickBot="1" x14ac:dyDescent="0.3">
      <c r="B28" s="74" t="str">
        <f>+B27</f>
        <v>Show</v>
      </c>
      <c r="D28" s="193" t="str">
        <f>+"END OF "&amp;D2</f>
        <v>END OF CARROLLTON FRIENDSHIP HOUSE  (026030P) - DRY|DRYUSDA|MCTF PICK LIST</v>
      </c>
      <c r="E28" s="194"/>
      <c r="F28" s="194"/>
      <c r="G28" s="194"/>
      <c r="H28" s="194"/>
      <c r="I28" s="194"/>
      <c r="J28" s="194"/>
      <c r="K28" s="194"/>
      <c r="L28" s="194"/>
      <c r="M28" s="195"/>
    </row>
    <row r="29" spans="1:17" ht="15.75" thickBot="1" x14ac:dyDescent="0.3"/>
    <row r="30" spans="1:17" ht="80.099999999999994" customHeight="1" thickBot="1" x14ac:dyDescent="0.3">
      <c r="A30" s="76" t="s">
        <v>30</v>
      </c>
      <c r="D30" s="166" t="str">
        <f>+F6</f>
        <v>DELIVER</v>
      </c>
      <c r="E30" s="167"/>
      <c r="F30" s="167"/>
      <c r="G30" s="167"/>
      <c r="H30" s="167"/>
      <c r="I30" s="167"/>
      <c r="J30" s="167"/>
      <c r="K30" s="167"/>
      <c r="L30" s="167"/>
      <c r="M30" s="168"/>
    </row>
    <row r="31" spans="1:17" ht="36.75" x14ac:dyDescent="0.45">
      <c r="A31" s="76" t="s">
        <v>30</v>
      </c>
      <c r="D31" s="176" t="s">
        <v>12</v>
      </c>
      <c r="E31" s="177"/>
      <c r="F31" s="196" t="str">
        <f>+F4</f>
        <v>026030P</v>
      </c>
      <c r="G31" s="196"/>
      <c r="H31" s="196"/>
      <c r="I31" s="196"/>
      <c r="J31" s="196"/>
      <c r="K31" s="196"/>
      <c r="L31" s="196"/>
      <c r="M31" s="197"/>
    </row>
    <row r="32" spans="1:17" ht="37.5" customHeight="1" thickBot="1" x14ac:dyDescent="0.5">
      <c r="A32" s="76" t="s">
        <v>30</v>
      </c>
      <c r="D32" s="158" t="s">
        <v>5</v>
      </c>
      <c r="E32" s="159"/>
      <c r="F32" s="161" t="str">
        <f>+F5</f>
        <v>CARROLLTON FRIENDSHIP HOUSE</v>
      </c>
      <c r="G32" s="161"/>
      <c r="H32" s="161"/>
      <c r="I32" s="161"/>
      <c r="J32" s="161"/>
      <c r="K32" s="161"/>
      <c r="L32" s="161"/>
      <c r="M32" s="162"/>
      <c r="N32" s="84"/>
      <c r="O32" s="84"/>
      <c r="P32" s="84"/>
    </row>
    <row r="33" spans="1:13" ht="33.75" hidden="1" thickBot="1" x14ac:dyDescent="0.45">
      <c r="A33" s="76" t="s">
        <v>19</v>
      </c>
      <c r="D33" s="172" t="s">
        <v>49</v>
      </c>
      <c r="E33" s="173"/>
      <c r="F33" s="82"/>
      <c r="G33" s="83"/>
      <c r="H33" s="82"/>
      <c r="I33" s="82"/>
      <c r="J33" s="82"/>
      <c r="K33" s="82"/>
      <c r="L33" s="82"/>
      <c r="M33" s="81"/>
    </row>
    <row r="34" spans="1:13" ht="30" hidden="1" customHeight="1" x14ac:dyDescent="0.25">
      <c r="A34" s="76" t="s">
        <v>19</v>
      </c>
      <c r="D34" s="80"/>
      <c r="E34" s="78"/>
      <c r="F34" s="174" t="s">
        <v>1365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>COLLIN 3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7">
    <mergeCell ref="D2:M2"/>
    <mergeCell ref="F15:M17"/>
    <mergeCell ref="D28:M28"/>
    <mergeCell ref="D30:M30"/>
    <mergeCell ref="D31:E31"/>
    <mergeCell ref="F31:M31"/>
    <mergeCell ref="D32:E32"/>
    <mergeCell ref="F32:M32"/>
    <mergeCell ref="D33:E33"/>
    <mergeCell ref="F34:M34"/>
    <mergeCell ref="D36:E36"/>
    <mergeCell ref="F36:M36"/>
    <mergeCell ref="D37:E37"/>
    <mergeCell ref="F37:M37"/>
    <mergeCell ref="D38:M38"/>
    <mergeCell ref="D39:M39"/>
    <mergeCell ref="D40:M40"/>
  </mergeCells>
  <conditionalFormatting sqref="F6">
    <cfRule type="cellIs" dxfId="409" priority="5" operator="equal">
      <formula>"DELIVER"</formula>
    </cfRule>
  </conditionalFormatting>
  <conditionalFormatting sqref="D30">
    <cfRule type="cellIs" dxfId="408" priority="4" operator="equal">
      <formula>"DELIVER"</formula>
    </cfRule>
  </conditionalFormatting>
  <conditionalFormatting sqref="D2:M2">
    <cfRule type="expression" dxfId="407" priority="3">
      <formula>$F$6="DELIVER"</formula>
    </cfRule>
  </conditionalFormatting>
  <conditionalFormatting sqref="G6">
    <cfRule type="expression" dxfId="406" priority="2">
      <formula>$F$6="DELIVER"</formula>
    </cfRule>
  </conditionalFormatting>
  <conditionalFormatting sqref="D39">
    <cfRule type="expression" dxfId="40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8" max="16383" man="1"/>
  </rowBreaks>
  <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1733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835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1075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45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1735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517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1078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45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184</v>
      </c>
      <c r="F34" s="72" t="s">
        <v>1081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/>
  </sheetViews>
  <sheetFormatPr defaultRowHeight="15" x14ac:dyDescent="0.25"/>
  <sheetData>
    <row r="1" spans="1:26" x14ac:dyDescent="0.25">
      <c r="A1" s="72" t="s">
        <v>1737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804</v>
      </c>
      <c r="E4" s="72" t="s">
        <v>37</v>
      </c>
      <c r="F4" s="72" t="s">
        <v>116</v>
      </c>
      <c r="K4" s="72" t="s">
        <v>42</v>
      </c>
      <c r="M4" s="72" t="s">
        <v>714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715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716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1082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1084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1086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1088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45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534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184</v>
      </c>
      <c r="F37" s="72" t="s">
        <v>1083</v>
      </c>
    </row>
    <row r="38" spans="1:6" x14ac:dyDescent="0.25">
      <c r="A38" s="72" t="s">
        <v>184</v>
      </c>
      <c r="F38" s="72" t="s">
        <v>1085</v>
      </c>
    </row>
    <row r="39" spans="1:6" x14ac:dyDescent="0.25">
      <c r="A39" s="72" t="s">
        <v>184</v>
      </c>
      <c r="F39" s="72" t="s">
        <v>1087</v>
      </c>
    </row>
    <row r="40" spans="1:6" x14ac:dyDescent="0.25">
      <c r="A40" s="72" t="s">
        <v>19</v>
      </c>
    </row>
    <row r="41" spans="1:6" x14ac:dyDescent="0.25">
      <c r="A41" s="72" t="s">
        <v>30</v>
      </c>
      <c r="D41" s="72" t="s">
        <v>50</v>
      </c>
      <c r="F41" s="72" t="s">
        <v>171</v>
      </c>
    </row>
    <row r="42" spans="1:6" x14ac:dyDescent="0.25">
      <c r="A42" s="72" t="s">
        <v>30</v>
      </c>
      <c r="D42" s="72" t="s">
        <v>32</v>
      </c>
    </row>
    <row r="43" spans="1:6" x14ac:dyDescent="0.25">
      <c r="A43" s="72" t="s">
        <v>30</v>
      </c>
      <c r="D43" s="72" t="s">
        <v>51</v>
      </c>
    </row>
    <row r="44" spans="1:6" x14ac:dyDescent="0.25">
      <c r="A44" s="72" t="s">
        <v>30</v>
      </c>
      <c r="D44" s="72" t="s">
        <v>172</v>
      </c>
    </row>
    <row r="45" spans="1:6" x14ac:dyDescent="0.25">
      <c r="A45" s="72" t="s">
        <v>30</v>
      </c>
      <c r="D45" s="72" t="s">
        <v>55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/>
  </sheetViews>
  <sheetFormatPr defaultRowHeight="15" x14ac:dyDescent="0.25"/>
  <sheetData>
    <row r="1" spans="1:26" x14ac:dyDescent="0.25">
      <c r="A1" s="72" t="s">
        <v>1739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519</v>
      </c>
      <c r="E4" s="72" t="s">
        <v>37</v>
      </c>
      <c r="F4" s="72" t="s">
        <v>116</v>
      </c>
      <c r="K4" s="72" t="s">
        <v>42</v>
      </c>
      <c r="M4" s="72" t="s">
        <v>976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977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978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1098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45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ht="105" x14ac:dyDescent="0.25">
      <c r="A26" s="72" t="s">
        <v>174</v>
      </c>
      <c r="B26" s="72" t="s">
        <v>293</v>
      </c>
      <c r="C26" s="72" t="s">
        <v>1166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ht="105" x14ac:dyDescent="0.25">
      <c r="A27" s="72" t="s">
        <v>174</v>
      </c>
      <c r="B27" s="72" t="s">
        <v>227</v>
      </c>
      <c r="C27" s="72" t="s">
        <v>1167</v>
      </c>
      <c r="D27" s="72" t="s">
        <v>243</v>
      </c>
      <c r="E27" s="72" t="s">
        <v>248</v>
      </c>
      <c r="F27" s="72" t="s">
        <v>253</v>
      </c>
      <c r="G27" s="73" t="s">
        <v>228</v>
      </c>
      <c r="H27" s="72" t="s">
        <v>258</v>
      </c>
      <c r="I27" s="72" t="s">
        <v>263</v>
      </c>
      <c r="J27" s="72" t="s">
        <v>268</v>
      </c>
      <c r="N27" s="72" t="s">
        <v>229</v>
      </c>
      <c r="O27" s="72" t="s">
        <v>273</v>
      </c>
      <c r="P27" s="72" t="s">
        <v>278</v>
      </c>
      <c r="Q27" s="73" t="s">
        <v>56</v>
      </c>
    </row>
    <row r="28" spans="1:17" ht="105" x14ac:dyDescent="0.25">
      <c r="A28" s="72" t="s">
        <v>174</v>
      </c>
      <c r="B28" s="72" t="s">
        <v>230</v>
      </c>
      <c r="C28" s="72" t="s">
        <v>1168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207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184</v>
      </c>
      <c r="F37" s="72" t="s">
        <v>1099</v>
      </c>
    </row>
    <row r="38" spans="1:6" x14ac:dyDescent="0.25">
      <c r="A38" s="72" t="s">
        <v>19</v>
      </c>
    </row>
    <row r="39" spans="1:6" x14ac:dyDescent="0.25">
      <c r="A39" s="72" t="s">
        <v>30</v>
      </c>
      <c r="D39" s="72" t="s">
        <v>50</v>
      </c>
      <c r="F39" s="72" t="s">
        <v>171</v>
      </c>
    </row>
    <row r="40" spans="1:6" x14ac:dyDescent="0.25">
      <c r="A40" s="72" t="s">
        <v>30</v>
      </c>
      <c r="D40" s="72" t="s">
        <v>32</v>
      </c>
    </row>
    <row r="41" spans="1:6" x14ac:dyDescent="0.25">
      <c r="A41" s="72" t="s">
        <v>30</v>
      </c>
      <c r="D41" s="72" t="s">
        <v>51</v>
      </c>
    </row>
    <row r="42" spans="1:6" x14ac:dyDescent="0.25">
      <c r="A42" s="72" t="s">
        <v>30</v>
      </c>
      <c r="D42" s="72" t="s">
        <v>172</v>
      </c>
    </row>
    <row r="43" spans="1:6" x14ac:dyDescent="0.25">
      <c r="A43" s="72" t="s">
        <v>30</v>
      </c>
      <c r="D43" s="72" t="s">
        <v>55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1741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858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1103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45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/>
  </sheetViews>
  <sheetFormatPr defaultRowHeight="15" x14ac:dyDescent="0.25"/>
  <sheetData>
    <row r="1" spans="1:26" x14ac:dyDescent="0.25">
      <c r="A1" s="72" t="s">
        <v>1743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704</v>
      </c>
      <c r="C2" s="72" t="s">
        <v>7</v>
      </c>
      <c r="D2" s="72" t="s">
        <v>705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1109</v>
      </c>
      <c r="E4" s="72" t="s">
        <v>37</v>
      </c>
      <c r="F4" s="72" t="s">
        <v>116</v>
      </c>
      <c r="K4" s="72" t="s">
        <v>42</v>
      </c>
      <c r="M4" s="72" t="s">
        <v>723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724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725</v>
      </c>
      <c r="W6" s="72" t="s">
        <v>706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423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707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149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150</v>
      </c>
      <c r="C13" s="72" t="s">
        <v>1113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151</v>
      </c>
      <c r="C14" s="72" t="s">
        <v>1114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152</v>
      </c>
      <c r="C15" s="72" t="s">
        <v>1115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207</v>
      </c>
      <c r="C16" s="72" t="s">
        <v>1117</v>
      </c>
      <c r="E16" s="72" t="s">
        <v>571</v>
      </c>
      <c r="F16" s="72" t="s">
        <v>575</v>
      </c>
    </row>
    <row r="17" spans="1:17" x14ac:dyDescent="0.25">
      <c r="A17" s="72" t="s">
        <v>173</v>
      </c>
      <c r="B17" s="72" t="s">
        <v>225</v>
      </c>
      <c r="C17" s="72" t="s">
        <v>1118</v>
      </c>
      <c r="E17" s="72" t="s">
        <v>572</v>
      </c>
      <c r="F17" s="72" t="s">
        <v>576</v>
      </c>
    </row>
    <row r="18" spans="1:17" x14ac:dyDescent="0.25">
      <c r="A18" s="72" t="s">
        <v>173</v>
      </c>
      <c r="B18" s="72" t="s">
        <v>226</v>
      </c>
      <c r="C18" s="72" t="s">
        <v>1120</v>
      </c>
      <c r="E18" s="72" t="s">
        <v>573</v>
      </c>
      <c r="F18" s="72" t="s">
        <v>577</v>
      </c>
    </row>
    <row r="19" spans="1:17" x14ac:dyDescent="0.25">
      <c r="A19" s="72" t="s">
        <v>173</v>
      </c>
      <c r="B19" s="72" t="s">
        <v>534</v>
      </c>
      <c r="C19" s="72" t="s">
        <v>1121</v>
      </c>
      <c r="E19" s="72" t="s">
        <v>574</v>
      </c>
      <c r="F19" s="72" t="s">
        <v>578</v>
      </c>
    </row>
    <row r="20" spans="1:17" x14ac:dyDescent="0.25">
      <c r="A20" s="72" t="s">
        <v>173</v>
      </c>
      <c r="B20" s="72" t="s">
        <v>535</v>
      </c>
      <c r="C20" s="72" t="s">
        <v>1123</v>
      </c>
      <c r="E20" s="72" t="s">
        <v>712</v>
      </c>
      <c r="F20" s="72" t="s">
        <v>713</v>
      </c>
    </row>
    <row r="21" spans="1:17" x14ac:dyDescent="0.25">
      <c r="A21" s="72" t="s">
        <v>6</v>
      </c>
      <c r="B21" s="72" t="s">
        <v>150</v>
      </c>
      <c r="C21" s="72" t="s">
        <v>135</v>
      </c>
      <c r="E21" s="72" t="s">
        <v>138</v>
      </c>
      <c r="F21" s="72" t="s">
        <v>139</v>
      </c>
    </row>
    <row r="22" spans="1:17" x14ac:dyDescent="0.25">
      <c r="A22" s="72" t="s">
        <v>6</v>
      </c>
      <c r="B22" s="72" t="s">
        <v>151</v>
      </c>
      <c r="E22" s="72" t="s">
        <v>708</v>
      </c>
      <c r="F22" s="72" t="s">
        <v>709</v>
      </c>
    </row>
    <row r="23" spans="1:17" x14ac:dyDescent="0.25">
      <c r="B23" s="72" t="s">
        <v>152</v>
      </c>
      <c r="E23" s="72" t="s">
        <v>20</v>
      </c>
      <c r="F23" s="72" t="s">
        <v>144</v>
      </c>
    </row>
    <row r="24" spans="1:17" x14ac:dyDescent="0.25">
      <c r="B24" s="72" t="s">
        <v>207</v>
      </c>
    </row>
    <row r="25" spans="1:17" x14ac:dyDescent="0.25">
      <c r="B25" s="72" t="s">
        <v>225</v>
      </c>
    </row>
    <row r="26" spans="1:17" x14ac:dyDescent="0.25">
      <c r="B26" s="72" t="s">
        <v>226</v>
      </c>
    </row>
    <row r="27" spans="1:17" x14ac:dyDescent="0.25">
      <c r="B27" s="72" t="s">
        <v>534</v>
      </c>
      <c r="E27" s="72" t="s">
        <v>33</v>
      </c>
      <c r="H27" s="72" t="s">
        <v>53</v>
      </c>
    </row>
    <row r="28" spans="1:17" x14ac:dyDescent="0.25">
      <c r="B28" s="72" t="s">
        <v>535</v>
      </c>
    </row>
    <row r="29" spans="1:17" x14ac:dyDescent="0.25">
      <c r="B29" s="72" t="s">
        <v>536</v>
      </c>
      <c r="E29" s="72" t="s">
        <v>32</v>
      </c>
      <c r="H29" s="72" t="s">
        <v>54</v>
      </c>
    </row>
    <row r="30" spans="1:17" x14ac:dyDescent="0.25">
      <c r="B30" s="72" t="s">
        <v>537</v>
      </c>
      <c r="C30" s="72" t="s">
        <v>52</v>
      </c>
      <c r="D30" s="72" t="s">
        <v>52</v>
      </c>
    </row>
    <row r="31" spans="1:17" x14ac:dyDescent="0.25">
      <c r="B31" s="72" t="s">
        <v>710</v>
      </c>
      <c r="C31" s="72" t="s">
        <v>45</v>
      </c>
      <c r="D31" s="72" t="s">
        <v>28</v>
      </c>
      <c r="E31" s="72" t="s">
        <v>26</v>
      </c>
      <c r="F31" s="72" t="s">
        <v>29</v>
      </c>
      <c r="G31" s="72" t="s">
        <v>57</v>
      </c>
      <c r="H31" s="72" t="s">
        <v>27</v>
      </c>
      <c r="I31" s="72" t="s">
        <v>25</v>
      </c>
      <c r="J31" s="72" t="s">
        <v>10</v>
      </c>
      <c r="K31" s="72" t="s">
        <v>24</v>
      </c>
      <c r="M31" s="72" t="s">
        <v>31</v>
      </c>
      <c r="N31" s="72" t="s">
        <v>21</v>
      </c>
      <c r="O31" s="72" t="s">
        <v>22</v>
      </c>
      <c r="P31" s="72" t="s">
        <v>23</v>
      </c>
    </row>
    <row r="32" spans="1:17" ht="105" x14ac:dyDescent="0.25">
      <c r="B32" s="72" t="s">
        <v>297</v>
      </c>
      <c r="C32" s="72" t="s">
        <v>711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17" ht="105" x14ac:dyDescent="0.25">
      <c r="A33" s="72" t="s">
        <v>174</v>
      </c>
      <c r="B33" s="72" t="s">
        <v>300</v>
      </c>
      <c r="C33" s="72" t="s">
        <v>1169</v>
      </c>
      <c r="D33" s="72" t="s">
        <v>320</v>
      </c>
      <c r="E33" s="72" t="s">
        <v>328</v>
      </c>
      <c r="F33" s="72" t="s">
        <v>336</v>
      </c>
      <c r="G33" s="73" t="s">
        <v>301</v>
      </c>
      <c r="H33" s="72" t="s">
        <v>344</v>
      </c>
      <c r="I33" s="72" t="s">
        <v>352</v>
      </c>
      <c r="J33" s="72" t="s">
        <v>360</v>
      </c>
      <c r="N33" s="72" t="s">
        <v>302</v>
      </c>
      <c r="O33" s="72" t="s">
        <v>368</v>
      </c>
      <c r="P33" s="72" t="s">
        <v>376</v>
      </c>
      <c r="Q33" s="73" t="s">
        <v>56</v>
      </c>
    </row>
    <row r="34" spans="1:17" ht="105" x14ac:dyDescent="0.25">
      <c r="A34" s="72" t="s">
        <v>174</v>
      </c>
      <c r="B34" s="72" t="s">
        <v>303</v>
      </c>
      <c r="C34" s="72" t="s">
        <v>1170</v>
      </c>
      <c r="D34" s="72" t="s">
        <v>321</v>
      </c>
      <c r="E34" s="72" t="s">
        <v>329</v>
      </c>
      <c r="F34" s="72" t="s">
        <v>337</v>
      </c>
      <c r="G34" s="73" t="s">
        <v>304</v>
      </c>
      <c r="H34" s="72" t="s">
        <v>345</v>
      </c>
      <c r="I34" s="72" t="s">
        <v>353</v>
      </c>
      <c r="J34" s="72" t="s">
        <v>361</v>
      </c>
      <c r="N34" s="72" t="s">
        <v>305</v>
      </c>
      <c r="O34" s="72" t="s">
        <v>369</v>
      </c>
      <c r="P34" s="72" t="s">
        <v>377</v>
      </c>
      <c r="Q34" s="73" t="s">
        <v>56</v>
      </c>
    </row>
    <row r="35" spans="1:17" ht="105" x14ac:dyDescent="0.25">
      <c r="A35" s="72" t="s">
        <v>174</v>
      </c>
      <c r="B35" s="72" t="s">
        <v>306</v>
      </c>
      <c r="C35" s="72" t="s">
        <v>1171</v>
      </c>
      <c r="D35" s="72" t="s">
        <v>322</v>
      </c>
      <c r="E35" s="72" t="s">
        <v>330</v>
      </c>
      <c r="F35" s="72" t="s">
        <v>338</v>
      </c>
      <c r="G35" s="73" t="s">
        <v>307</v>
      </c>
      <c r="H35" s="72" t="s">
        <v>346</v>
      </c>
      <c r="I35" s="72" t="s">
        <v>354</v>
      </c>
      <c r="J35" s="72" t="s">
        <v>362</v>
      </c>
      <c r="N35" s="72" t="s">
        <v>308</v>
      </c>
      <c r="O35" s="72" t="s">
        <v>370</v>
      </c>
      <c r="P35" s="72" t="s">
        <v>378</v>
      </c>
      <c r="Q35" s="73" t="s">
        <v>56</v>
      </c>
    </row>
    <row r="36" spans="1:17" ht="105" x14ac:dyDescent="0.25">
      <c r="A36" s="72" t="s">
        <v>174</v>
      </c>
      <c r="B36" s="72" t="s">
        <v>309</v>
      </c>
      <c r="C36" s="72" t="s">
        <v>1172</v>
      </c>
      <c r="D36" s="72" t="s">
        <v>323</v>
      </c>
      <c r="E36" s="72" t="s">
        <v>331</v>
      </c>
      <c r="F36" s="72" t="s">
        <v>339</v>
      </c>
      <c r="G36" s="73" t="s">
        <v>310</v>
      </c>
      <c r="H36" s="72" t="s">
        <v>347</v>
      </c>
      <c r="I36" s="72" t="s">
        <v>355</v>
      </c>
      <c r="J36" s="72" t="s">
        <v>363</v>
      </c>
      <c r="N36" s="72" t="s">
        <v>311</v>
      </c>
      <c r="O36" s="72" t="s">
        <v>371</v>
      </c>
      <c r="P36" s="72" t="s">
        <v>379</v>
      </c>
      <c r="Q36" s="73" t="s">
        <v>56</v>
      </c>
    </row>
    <row r="37" spans="1:17" x14ac:dyDescent="0.25">
      <c r="B37" s="72" t="s">
        <v>710</v>
      </c>
    </row>
    <row r="38" spans="1:17" x14ac:dyDescent="0.25">
      <c r="B38" s="72" t="s">
        <v>681</v>
      </c>
      <c r="D38" s="72" t="s">
        <v>166</v>
      </c>
    </row>
    <row r="40" spans="1:17" x14ac:dyDescent="0.25">
      <c r="A40" s="72" t="s">
        <v>30</v>
      </c>
      <c r="D40" s="72" t="s">
        <v>167</v>
      </c>
    </row>
    <row r="41" spans="1:17" x14ac:dyDescent="0.25">
      <c r="A41" s="72" t="s">
        <v>30</v>
      </c>
      <c r="D41" s="72" t="s">
        <v>12</v>
      </c>
      <c r="F41" s="72" t="s">
        <v>168</v>
      </c>
    </row>
    <row r="42" spans="1:17" x14ac:dyDescent="0.25">
      <c r="A42" s="72" t="s">
        <v>30</v>
      </c>
      <c r="D42" s="72" t="s">
        <v>5</v>
      </c>
      <c r="F42" s="72" t="s">
        <v>169</v>
      </c>
    </row>
    <row r="43" spans="1:17" x14ac:dyDescent="0.25">
      <c r="A43" s="72" t="s">
        <v>19</v>
      </c>
      <c r="D43" s="72" t="s">
        <v>49</v>
      </c>
    </row>
    <row r="44" spans="1:17" x14ac:dyDescent="0.25">
      <c r="A44" s="72" t="s">
        <v>19</v>
      </c>
      <c r="F44" s="72" t="s">
        <v>170</v>
      </c>
    </row>
    <row r="45" spans="1:17" x14ac:dyDescent="0.25">
      <c r="A45" s="72" t="s">
        <v>184</v>
      </c>
      <c r="F45" s="72" t="s">
        <v>1116</v>
      </c>
    </row>
    <row r="46" spans="1:17" x14ac:dyDescent="0.25">
      <c r="A46" s="72" t="s">
        <v>184</v>
      </c>
      <c r="F46" s="72" t="s">
        <v>1119</v>
      </c>
    </row>
    <row r="47" spans="1:17" x14ac:dyDescent="0.25">
      <c r="A47" s="72" t="s">
        <v>184</v>
      </c>
      <c r="F47" s="72" t="s">
        <v>1122</v>
      </c>
    </row>
    <row r="48" spans="1:17" x14ac:dyDescent="0.25">
      <c r="A48" s="72" t="s">
        <v>19</v>
      </c>
    </row>
    <row r="49" spans="1:6" x14ac:dyDescent="0.25">
      <c r="A49" s="72" t="s">
        <v>30</v>
      </c>
      <c r="D49" s="72" t="s">
        <v>50</v>
      </c>
      <c r="F49" s="72" t="s">
        <v>171</v>
      </c>
    </row>
    <row r="50" spans="1:6" x14ac:dyDescent="0.25">
      <c r="A50" s="72" t="s">
        <v>30</v>
      </c>
      <c r="D50" s="72" t="s">
        <v>32</v>
      </c>
    </row>
    <row r="51" spans="1:6" x14ac:dyDescent="0.25">
      <c r="A51" s="72" t="s">
        <v>30</v>
      </c>
      <c r="D51" s="72" t="s">
        <v>51</v>
      </c>
    </row>
    <row r="52" spans="1:6" x14ac:dyDescent="0.25">
      <c r="A52" s="72" t="s">
        <v>30</v>
      </c>
      <c r="D52" s="72" t="s">
        <v>172</v>
      </c>
    </row>
    <row r="53" spans="1:6" x14ac:dyDescent="0.25">
      <c r="A53" s="72" t="s">
        <v>30</v>
      </c>
      <c r="D53" s="72" t="s">
        <v>55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1745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115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59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1747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836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59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1749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865</v>
      </c>
      <c r="E4" s="72" t="s">
        <v>37</v>
      </c>
      <c r="F4" s="72" t="s">
        <v>116</v>
      </c>
      <c r="K4" s="72" t="s">
        <v>42</v>
      </c>
      <c r="M4" s="72" t="s">
        <v>382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383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384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906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907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59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x14ac:dyDescent="0.25">
      <c r="B27" s="72" t="s">
        <v>225</v>
      </c>
    </row>
    <row r="28" spans="1:17" x14ac:dyDescent="0.25">
      <c r="B28" s="72" t="s">
        <v>385</v>
      </c>
      <c r="D28" s="72" t="s">
        <v>166</v>
      </c>
    </row>
    <row r="30" spans="1:17" x14ac:dyDescent="0.25">
      <c r="A30" s="72" t="s">
        <v>30</v>
      </c>
      <c r="D30" s="72" t="s">
        <v>167</v>
      </c>
    </row>
    <row r="31" spans="1:17" x14ac:dyDescent="0.25">
      <c r="A31" s="72" t="s">
        <v>30</v>
      </c>
      <c r="D31" s="72" t="s">
        <v>12</v>
      </c>
      <c r="F31" s="72" t="s">
        <v>168</v>
      </c>
    </row>
    <row r="32" spans="1:17" x14ac:dyDescent="0.25">
      <c r="A32" s="72" t="s">
        <v>30</v>
      </c>
      <c r="D32" s="72" t="s">
        <v>5</v>
      </c>
      <c r="F32" s="72" t="s">
        <v>169</v>
      </c>
    </row>
    <row r="33" spans="1:6" x14ac:dyDescent="0.25">
      <c r="A33" s="72" t="s">
        <v>19</v>
      </c>
      <c r="D33" s="72" t="s">
        <v>49</v>
      </c>
    </row>
    <row r="34" spans="1:6" x14ac:dyDescent="0.25">
      <c r="A34" s="72" t="s">
        <v>19</v>
      </c>
      <c r="F34" s="72" t="s">
        <v>170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1751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916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59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6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1611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/>
      </c>
      <c r="C2" s="74" t="s">
        <v>7</v>
      </c>
      <c r="D2" s="181" t="str">
        <f>IF(E24="",F5&amp;"  ("&amp;F4&amp;") - NO "&amp;C23,F5&amp;"  ("&amp;F4&amp;") - "&amp;C23&amp;" PICK LIST")</f>
        <v>CATHOLIC CHARITIES OF DALLAS  (026056P5)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"026056P5"</f>
        <v>026056P5</v>
      </c>
      <c r="E4" s="101" t="s">
        <v>37</v>
      </c>
      <c r="F4" s="105" t="str">
        <f>C4</f>
        <v>026056P5</v>
      </c>
      <c r="K4" s="101" t="s">
        <v>42</v>
      </c>
      <c r="L4" s="104"/>
      <c r="M4" s="111">
        <f>SUM(I24:I33)</f>
        <v>469</v>
      </c>
    </row>
    <row r="5" spans="1:26" ht="18" customHeight="1" x14ac:dyDescent="0.25">
      <c r="B5" s="76" t="str">
        <f t="shared" si="0"/>
        <v>Show</v>
      </c>
      <c r="C5" s="109" t="s">
        <v>1380</v>
      </c>
      <c r="E5" s="101" t="s">
        <v>36</v>
      </c>
      <c r="F5" s="112" t="s">
        <v>1184</v>
      </c>
      <c r="K5" s="101" t="s">
        <v>43</v>
      </c>
      <c r="L5" s="104"/>
      <c r="M5" s="111">
        <f>ROUND(SUM(O24:O33),0)</f>
        <v>8810</v>
      </c>
    </row>
    <row r="6" spans="1:26" ht="18" customHeight="1" x14ac:dyDescent="0.25">
      <c r="B6" s="76" t="str">
        <f t="shared" si="0"/>
        <v>Show</v>
      </c>
      <c r="C6" s="109" t="s">
        <v>1384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ROUND(COUNT(O24:O33),0)</f>
        <v>9</v>
      </c>
      <c r="P6" s="101"/>
      <c r="W6" s="101" t="str">
        <f>"ESTIMATED "&amp;O23&amp;"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E14</f>
        <v>A108413|A108413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F14</f>
        <v>ITPN-207502|ITPN-207502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 t="shared" si="0"/>
        <v>Show</v>
      </c>
      <c r="C12" s="74" t="s">
        <v>1380</v>
      </c>
      <c r="E12" s="74" t="s">
        <v>1379</v>
      </c>
      <c r="F12" s="74" t="s">
        <v>1381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6</v>
      </c>
      <c r="B13" s="76" t="str">
        <f t="shared" si="0"/>
        <v>Show</v>
      </c>
      <c r="C13" s="74" t="s">
        <v>1379</v>
      </c>
      <c r="E13" s="74" t="str">
        <f>E12</f>
        <v>A108413</v>
      </c>
      <c r="F13" s="74" t="str">
        <f>F12</f>
        <v>ITPN-207502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si="0"/>
        <v>Show</v>
      </c>
      <c r="E14" s="92" t="s">
        <v>1382</v>
      </c>
      <c r="F14" s="92" t="s">
        <v>1383</v>
      </c>
      <c r="I14" s="98"/>
      <c r="J14" s="98"/>
      <c r="K14" s="98"/>
      <c r="L14" s="98"/>
      <c r="M14" s="98"/>
    </row>
    <row r="15" spans="1:26" x14ac:dyDescent="0.25">
      <c r="B15" s="76" t="str">
        <f t="shared" si="0"/>
        <v>Show</v>
      </c>
      <c r="E15" s="101" t="s">
        <v>20</v>
      </c>
      <c r="F15" s="184" t="s">
        <v>179</v>
      </c>
      <c r="G15" s="185"/>
      <c r="H15" s="185"/>
      <c r="I15" s="185"/>
      <c r="J15" s="185"/>
      <c r="K15" s="185"/>
      <c r="L15" s="185"/>
      <c r="M15" s="186"/>
    </row>
    <row r="16" spans="1:26" x14ac:dyDescent="0.25">
      <c r="B16" s="76" t="str">
        <f t="shared" si="0"/>
        <v>Show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thickBot="1" x14ac:dyDescent="0.3">
      <c r="B17" s="76" t="str">
        <f t="shared" si="0"/>
        <v>Show</v>
      </c>
      <c r="F17" s="190"/>
      <c r="G17" s="191"/>
      <c r="H17" s="191"/>
      <c r="I17" s="191"/>
      <c r="J17" s="191"/>
      <c r="K17" s="191"/>
      <c r="L17" s="191"/>
      <c r="M17" s="192"/>
    </row>
    <row r="18" spans="1:17" x14ac:dyDescent="0.25">
      <c r="B18" s="76" t="str">
        <f t="shared" si="0"/>
        <v>Show</v>
      </c>
    </row>
    <row r="19" spans="1:17" x14ac:dyDescent="0.25">
      <c r="B19" s="76" t="str">
        <f t="shared" si="0"/>
        <v>Show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x14ac:dyDescent="0.25">
      <c r="B20" s="76" t="str">
        <f t="shared" si="0"/>
        <v>Show</v>
      </c>
      <c r="E20" s="101"/>
    </row>
    <row r="21" spans="1:17" x14ac:dyDescent="0.25">
      <c r="B21" s="76" t="str">
        <f t="shared" si="0"/>
        <v>Show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x14ac:dyDescent="0.25">
      <c r="B22" s="76" t="str">
        <f t="shared" si="0"/>
        <v>Show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customHeight="1" x14ac:dyDescent="0.25">
      <c r="A23" s="97"/>
      <c r="B23" s="76" t="str">
        <f t="shared" si="0"/>
        <v>Show</v>
      </c>
      <c r="C23" s="96" t="s">
        <v>79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customHeight="1" x14ac:dyDescent="0.25">
      <c r="B24" s="92" t="str">
        <f>IF(I24="","Hide","Show")</f>
        <v>Show</v>
      </c>
      <c r="C24" s="74" t="s">
        <v>1386</v>
      </c>
      <c r="D24" s="89" t="str">
        <f>"02-12-01"</f>
        <v>02-12-01</v>
      </c>
      <c r="E24" s="89" t="str">
        <f>"P00188218"</f>
        <v>P00188218</v>
      </c>
      <c r="F24" s="89" t="str">
        <f>"1000003540"</f>
        <v>1000003540</v>
      </c>
      <c r="G24" s="91" t="s">
        <v>1385</v>
      </c>
      <c r="H24" s="90" t="str">
        <f>"JUICE, V8 FUSION, MANDARIN ORANGE KIWI"</f>
        <v>JUICE, V8 FUSION, MANDARIN ORANGE KIWI</v>
      </c>
      <c r="I24" s="89">
        <v>79</v>
      </c>
      <c r="J24" s="89" t="str">
        <f t="shared" ref="J24:J32" si="1">"CS"</f>
        <v>CS</v>
      </c>
      <c r="K24" s="88"/>
      <c r="L24" s="87"/>
      <c r="M24" s="87"/>
      <c r="N24" s="85" t="s">
        <v>179</v>
      </c>
      <c r="O24" s="85">
        <v>1580</v>
      </c>
      <c r="P24" s="85" t="str">
        <f t="shared" ref="P24:P31" si="2">"DRY"</f>
        <v>DRY</v>
      </c>
      <c r="Q24" s="86" t="s">
        <v>56</v>
      </c>
    </row>
    <row r="25" spans="1:17" ht="24.95" customHeight="1" x14ac:dyDescent="0.25">
      <c r="A25" s="74" t="s">
        <v>174</v>
      </c>
      <c r="B25" s="92" t="str">
        <f t="shared" ref="B25:B32" si="3">IF(I25="","Hide","Show")</f>
        <v>Show</v>
      </c>
      <c r="C25" s="74" t="str">
        <f>"""Ceres NTFB Live"",""NTFB Live"",""5767"",""1"",""Invt. Pick"",""2"",""ITPN-207502"",""3"",""90000"""</f>
        <v>"Ceres NTFB Live","NTFB Live","5767","1","Invt. Pick","2","ITPN-207502","3","90000"</v>
      </c>
      <c r="D25" s="89" t="str">
        <f>"02-16-01"</f>
        <v>02-16-01</v>
      </c>
      <c r="E25" s="89" t="str">
        <f>"P00188215"</f>
        <v>P00188215</v>
      </c>
      <c r="F25" s="89" t="str">
        <f>"1000003540"</f>
        <v>1000003540</v>
      </c>
      <c r="G25" s="91" t="s">
        <v>1385</v>
      </c>
      <c r="H25" s="90" t="str">
        <f>"JUICE, V8 FUSION, MANDARIN ORANGE KIWI"</f>
        <v>JUICE, V8 FUSION, MANDARIN ORANGE KIWI</v>
      </c>
      <c r="I25" s="89">
        <v>74</v>
      </c>
      <c r="J25" s="89" t="str">
        <f t="shared" si="1"/>
        <v>CS</v>
      </c>
      <c r="K25" s="88"/>
      <c r="L25" s="87"/>
      <c r="M25" s="87"/>
      <c r="N25" s="85" t="s">
        <v>179</v>
      </c>
      <c r="O25" s="85">
        <v>1480</v>
      </c>
      <c r="P25" s="85" t="str">
        <f t="shared" si="2"/>
        <v>DRY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si="3"/>
        <v>Show</v>
      </c>
      <c r="C26" s="74" t="str">
        <f>"""Ceres NTFB Live"",""NTFB Live"",""5767"",""1"",""Invt. Pick"",""2"",""ITPN-207502"",""3"",""110000"""</f>
        <v>"Ceres NTFB Live","NTFB Live","5767","1","Invt. Pick","2","ITPN-207502","3","110000"</v>
      </c>
      <c r="D26" s="89" t="str">
        <f>"02-18-01"</f>
        <v>02-18-01</v>
      </c>
      <c r="E26" s="89" t="str">
        <f>"P00188216"</f>
        <v>P00188216</v>
      </c>
      <c r="F26" s="89" t="str">
        <f>"1000003540"</f>
        <v>1000003540</v>
      </c>
      <c r="G26" s="91" t="s">
        <v>1385</v>
      </c>
      <c r="H26" s="90" t="str">
        <f>"JUICE, V8 FUSION, MANDARIN ORANGE KIWI"</f>
        <v>JUICE, V8 FUSION, MANDARIN ORANGE KIWI</v>
      </c>
      <c r="I26" s="89">
        <v>61</v>
      </c>
      <c r="J26" s="89" t="str">
        <f t="shared" si="1"/>
        <v>CS</v>
      </c>
      <c r="K26" s="88"/>
      <c r="L26" s="87"/>
      <c r="M26" s="87"/>
      <c r="N26" s="85" t="s">
        <v>179</v>
      </c>
      <c r="O26" s="85">
        <v>1220</v>
      </c>
      <c r="P26" s="85" t="str">
        <f t="shared" si="2"/>
        <v>DRY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3"/>
        <v>Show</v>
      </c>
      <c r="C27" s="74" t="str">
        <f>"""Ceres NTFB Live"",""NTFB Live"",""5767"",""1"",""Invt. Pick"",""2"",""ITPN-207502"",""3"",""60000"""</f>
        <v>"Ceres NTFB Live","NTFB Live","5767","1","Invt. Pick","2","ITPN-207502","3","60000"</v>
      </c>
      <c r="D27" s="89" t="str">
        <f>"03-28-01"</f>
        <v>03-28-01</v>
      </c>
      <c r="E27" s="89" t="str">
        <f>"P00188499"</f>
        <v>P00188499</v>
      </c>
      <c r="F27" s="89" t="str">
        <f>"1000000503"</f>
        <v>1000000503</v>
      </c>
      <c r="G27" s="91" t="s">
        <v>1385</v>
      </c>
      <c r="H27" s="90" t="str">
        <f>"GREEN BEANS, ASSORTED CANNED"</f>
        <v>GREEN BEANS, ASSORTED CANNED</v>
      </c>
      <c r="I27" s="89">
        <v>34</v>
      </c>
      <c r="J27" s="89" t="str">
        <f t="shared" si="1"/>
        <v>CS</v>
      </c>
      <c r="K27" s="88"/>
      <c r="L27" s="87"/>
      <c r="M27" s="87"/>
      <c r="N27" s="85" t="s">
        <v>179</v>
      </c>
      <c r="O27" s="85">
        <v>748</v>
      </c>
      <c r="P27" s="85" t="str">
        <f t="shared" si="2"/>
        <v>DRY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3"/>
        <v>Show</v>
      </c>
      <c r="C28" s="74" t="str">
        <f>"""Ceres NTFB Live"",""NTFB Live"",""5767"",""1"",""Invt. Pick"",""2"",""ITPN-207502"",""3"",""30000"""</f>
        <v>"Ceres NTFB Live","NTFB Live","5767","1","Invt. Pick","2","ITPN-207502","3","30000"</v>
      </c>
      <c r="D28" s="89" t="str">
        <f>"04-19-01"</f>
        <v>04-19-01</v>
      </c>
      <c r="E28" s="89" t="str">
        <f>"P00175555"</f>
        <v>P00175555</v>
      </c>
      <c r="F28" s="89" t="str">
        <f>"1000000503"</f>
        <v>1000000503</v>
      </c>
      <c r="G28" s="91" t="s">
        <v>1385</v>
      </c>
      <c r="H28" s="90" t="str">
        <f>"GREEN BEANS, ASSORTED CANNED"</f>
        <v>GREEN BEANS, ASSORTED CANNED</v>
      </c>
      <c r="I28" s="89">
        <v>9</v>
      </c>
      <c r="J28" s="89" t="str">
        <f t="shared" si="1"/>
        <v>CS</v>
      </c>
      <c r="K28" s="88"/>
      <c r="L28" s="87"/>
      <c r="M28" s="87"/>
      <c r="N28" s="85" t="s">
        <v>179</v>
      </c>
      <c r="O28" s="85">
        <v>198</v>
      </c>
      <c r="P28" s="85" t="str">
        <f t="shared" si="2"/>
        <v>DRY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si="3"/>
        <v>Show</v>
      </c>
      <c r="C29" s="74" t="str">
        <f>"""Ceres NTFB Live"",""NTFB Live"",""5767"",""1"",""Invt. Pick"",""2"",""ITPN-207502"",""3"",""40000"""</f>
        <v>"Ceres NTFB Live","NTFB Live","5767","1","Invt. Pick","2","ITPN-207502","3","40000"</v>
      </c>
      <c r="D29" s="89" t="str">
        <f>"05-14-01"</f>
        <v>05-14-01</v>
      </c>
      <c r="E29" s="89" t="str">
        <f>"P00187932"</f>
        <v>P00187932</v>
      </c>
      <c r="F29" s="89" t="str">
        <f>"1000000503"</f>
        <v>1000000503</v>
      </c>
      <c r="G29" s="91" t="s">
        <v>1385</v>
      </c>
      <c r="H29" s="90" t="str">
        <f>"GREEN BEANS, ASSORTED CANNED"</f>
        <v>GREEN BEANS, ASSORTED CANNED</v>
      </c>
      <c r="I29" s="89">
        <v>40</v>
      </c>
      <c r="J29" s="89" t="str">
        <f t="shared" si="1"/>
        <v>CS</v>
      </c>
      <c r="K29" s="88"/>
      <c r="L29" s="87"/>
      <c r="M29" s="87"/>
      <c r="N29" s="85" t="s">
        <v>179</v>
      </c>
      <c r="O29" s="85">
        <v>880</v>
      </c>
      <c r="P29" s="85" t="str">
        <f t="shared" si="2"/>
        <v>DRY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3"/>
        <v>Show</v>
      </c>
      <c r="C30" s="74" t="str">
        <f>"""Ceres NTFB Live"",""NTFB Live"",""5767"",""1"",""Invt. Pick"",""2"",""ITPN-207502"",""3"",""50000"""</f>
        <v>"Ceres NTFB Live","NTFB Live","5767","1","Invt. Pick","2","ITPN-207502","3","50000"</v>
      </c>
      <c r="D30" s="89" t="str">
        <f>"05-16-01"</f>
        <v>05-16-01</v>
      </c>
      <c r="E30" s="89" t="str">
        <f>"P00187933"</f>
        <v>P00187933</v>
      </c>
      <c r="F30" s="89" t="str">
        <f>"1000000503"</f>
        <v>1000000503</v>
      </c>
      <c r="G30" s="91" t="s">
        <v>1385</v>
      </c>
      <c r="H30" s="90" t="str">
        <f>"GREEN BEANS, ASSORTED CANNED"</f>
        <v>GREEN BEANS, ASSORTED CANNED</v>
      </c>
      <c r="I30" s="89">
        <v>36</v>
      </c>
      <c r="J30" s="89" t="str">
        <f t="shared" si="1"/>
        <v>CS</v>
      </c>
      <c r="K30" s="88"/>
      <c r="L30" s="87"/>
      <c r="M30" s="87"/>
      <c r="N30" s="85" t="s">
        <v>179</v>
      </c>
      <c r="O30" s="85">
        <v>792</v>
      </c>
      <c r="P30" s="85" t="str">
        <f t="shared" si="2"/>
        <v>DRY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si="3"/>
        <v>Show</v>
      </c>
      <c r="C31" s="74" t="str">
        <f>"""Ceres NTFB Live"",""NTFB Live"",""5767"",""1"",""Invt. Pick"",""2"",""ITPN-207502"",""3"",""80000"""</f>
        <v>"Ceres NTFB Live","NTFB Live","5767","1","Invt. Pick","2","ITPN-207502","3","80000"</v>
      </c>
      <c r="D31" s="89" t="str">
        <f>"05-36-01"</f>
        <v>05-36-01</v>
      </c>
      <c r="E31" s="89" t="str">
        <f>"P00189573"</f>
        <v>P00189573</v>
      </c>
      <c r="F31" s="89" t="str">
        <f>"1000000503"</f>
        <v>1000000503</v>
      </c>
      <c r="G31" s="91" t="s">
        <v>1385</v>
      </c>
      <c r="H31" s="90" t="str">
        <f>"GREEN BEANS, ASSORTED CANNED"</f>
        <v>GREEN BEANS, ASSORTED CANNED</v>
      </c>
      <c r="I31" s="89">
        <v>1</v>
      </c>
      <c r="J31" s="89" t="str">
        <f t="shared" si="1"/>
        <v>CS</v>
      </c>
      <c r="K31" s="88"/>
      <c r="L31" s="87"/>
      <c r="M31" s="87"/>
      <c r="N31" s="85" t="s">
        <v>179</v>
      </c>
      <c r="O31" s="85">
        <v>22</v>
      </c>
      <c r="P31" s="85" t="str">
        <f t="shared" si="2"/>
        <v>DRY</v>
      </c>
      <c r="Q31" s="86" t="s">
        <v>56</v>
      </c>
    </row>
    <row r="32" spans="1:17" ht="24.95" customHeight="1" x14ac:dyDescent="0.25">
      <c r="A32" s="74" t="s">
        <v>174</v>
      </c>
      <c r="B32" s="92" t="str">
        <f t="shared" si="3"/>
        <v>Show</v>
      </c>
      <c r="C32" s="74" t="str">
        <f>"""Ceres NTFB Live"",""NTFB Live"",""5767"",""1"",""Invt. Pick"",""2"",""ITPN-207502"",""3"",""20000"""</f>
        <v>"Ceres NTFB Live","NTFB Live","5767","1","Invt. Pick","2","ITPN-207502","3","20000"</v>
      </c>
      <c r="D32" s="89" t="str">
        <f>"34-14-01"</f>
        <v>34-14-01</v>
      </c>
      <c r="E32" s="89" t="str">
        <f>"P00188798"</f>
        <v>P00188798</v>
      </c>
      <c r="F32" s="89" t="str">
        <f>"1000000217"</f>
        <v>1000000217</v>
      </c>
      <c r="G32" s="91" t="s">
        <v>1385</v>
      </c>
      <c r="H32" s="90" t="str">
        <f>"USDA PEANUT BUTTER (395)"</f>
        <v>USDA PEANUT BUTTER (395)</v>
      </c>
      <c r="I32" s="89">
        <v>135</v>
      </c>
      <c r="J32" s="89" t="str">
        <f t="shared" si="1"/>
        <v>CS</v>
      </c>
      <c r="K32" s="88"/>
      <c r="L32" s="87"/>
      <c r="M32" s="87"/>
      <c r="N32" s="85" t="s">
        <v>179</v>
      </c>
      <c r="O32" s="85">
        <v>1890</v>
      </c>
      <c r="P32" s="85" t="str">
        <f>"DRYUSDA"</f>
        <v>DRYUSDA</v>
      </c>
      <c r="Q32" s="86" t="s">
        <v>56</v>
      </c>
    </row>
    <row r="33" spans="1:16" ht="15.75" thickBot="1" x14ac:dyDescent="0.3">
      <c r="B33" s="74" t="str">
        <f>B24</f>
        <v>Show</v>
      </c>
      <c r="H33" s="85"/>
      <c r="I33" s="85"/>
    </row>
    <row r="34" spans="1:16" ht="15.75" thickBot="1" x14ac:dyDescent="0.3">
      <c r="B34" s="74" t="str">
        <f>+B33</f>
        <v>Show</v>
      </c>
      <c r="D34" s="193" t="str">
        <f>+"END OF "&amp;D2</f>
        <v>END OF CATHOLIC CHARITIES OF DALLAS  (026056P5) - DRY|DRYUSDA|MCTF PICK LIST</v>
      </c>
      <c r="E34" s="194"/>
      <c r="F34" s="194"/>
      <c r="G34" s="194"/>
      <c r="H34" s="194"/>
      <c r="I34" s="194"/>
      <c r="J34" s="194"/>
      <c r="K34" s="194"/>
      <c r="L34" s="194"/>
      <c r="M34" s="195"/>
    </row>
    <row r="35" spans="1:16" ht="15.75" thickBot="1" x14ac:dyDescent="0.3"/>
    <row r="36" spans="1:16" ht="80.099999999999994" customHeight="1" thickBot="1" x14ac:dyDescent="0.3">
      <c r="A36" s="76" t="s">
        <v>30</v>
      </c>
      <c r="D36" s="166" t="str">
        <f>+F6</f>
        <v>PICKUP</v>
      </c>
      <c r="E36" s="167"/>
      <c r="F36" s="167"/>
      <c r="G36" s="167"/>
      <c r="H36" s="167"/>
      <c r="I36" s="167"/>
      <c r="J36" s="167"/>
      <c r="K36" s="167"/>
      <c r="L36" s="167"/>
      <c r="M36" s="168"/>
    </row>
    <row r="37" spans="1:16" ht="36.75" x14ac:dyDescent="0.45">
      <c r="A37" s="76" t="s">
        <v>30</v>
      </c>
      <c r="D37" s="176" t="s">
        <v>12</v>
      </c>
      <c r="E37" s="177"/>
      <c r="F37" s="196" t="str">
        <f>+F4</f>
        <v>026056P5</v>
      </c>
      <c r="G37" s="196"/>
      <c r="H37" s="196"/>
      <c r="I37" s="196"/>
      <c r="J37" s="196"/>
      <c r="K37" s="196"/>
      <c r="L37" s="196"/>
      <c r="M37" s="197"/>
    </row>
    <row r="38" spans="1:16" ht="37.5" customHeight="1" thickBot="1" x14ac:dyDescent="0.5">
      <c r="A38" s="76" t="s">
        <v>30</v>
      </c>
      <c r="D38" s="158" t="s">
        <v>5</v>
      </c>
      <c r="E38" s="159"/>
      <c r="F38" s="161" t="str">
        <f>+F5</f>
        <v>CATHOLIC CHARITIES OF DALLAS</v>
      </c>
      <c r="G38" s="161"/>
      <c r="H38" s="161"/>
      <c r="I38" s="161"/>
      <c r="J38" s="161"/>
      <c r="K38" s="161"/>
      <c r="L38" s="161"/>
      <c r="M38" s="162"/>
      <c r="N38" s="84"/>
      <c r="O38" s="84"/>
      <c r="P38" s="84"/>
    </row>
    <row r="39" spans="1:16" ht="33.75" hidden="1" thickBot="1" x14ac:dyDescent="0.45">
      <c r="A39" s="76" t="s">
        <v>19</v>
      </c>
      <c r="D39" s="172" t="s">
        <v>49</v>
      </c>
      <c r="E39" s="173"/>
      <c r="F39" s="82"/>
      <c r="G39" s="83"/>
      <c r="H39" s="82"/>
      <c r="I39" s="82"/>
      <c r="J39" s="82"/>
      <c r="K39" s="82"/>
      <c r="L39" s="82"/>
      <c r="M39" s="81"/>
    </row>
    <row r="40" spans="1:16" ht="30" hidden="1" customHeight="1" x14ac:dyDescent="0.25">
      <c r="A40" s="76" t="s">
        <v>19</v>
      </c>
      <c r="D40" s="80"/>
      <c r="E40" s="78"/>
      <c r="F40" s="174" t="s">
        <v>1379</v>
      </c>
      <c r="G40" s="174"/>
      <c r="H40" s="174"/>
      <c r="I40" s="174"/>
      <c r="J40" s="174"/>
      <c r="K40" s="174"/>
      <c r="L40" s="174"/>
      <c r="M40" s="175"/>
    </row>
    <row r="41" spans="1:16" ht="15.75" hidden="1" customHeight="1" thickBot="1" x14ac:dyDescent="0.3">
      <c r="A41" s="76" t="s">
        <v>19</v>
      </c>
      <c r="D41" s="80"/>
      <c r="E41" s="78"/>
      <c r="F41" s="78"/>
      <c r="G41" s="79"/>
      <c r="H41" s="78"/>
      <c r="I41" s="78"/>
      <c r="J41" s="78"/>
      <c r="K41" s="78"/>
      <c r="L41" s="78"/>
      <c r="M41" s="77"/>
    </row>
    <row r="42" spans="1:16" ht="36.75" x14ac:dyDescent="0.45">
      <c r="A42" s="76" t="s">
        <v>30</v>
      </c>
      <c r="D42" s="176" t="s">
        <v>50</v>
      </c>
      <c r="E42" s="177"/>
      <c r="F42" s="178">
        <f>+F7</f>
        <v>42612</v>
      </c>
      <c r="G42" s="179"/>
      <c r="H42" s="179"/>
      <c r="I42" s="179"/>
      <c r="J42" s="179"/>
      <c r="K42" s="179"/>
      <c r="L42" s="179"/>
      <c r="M42" s="180"/>
    </row>
    <row r="43" spans="1:16" ht="37.5" thickBot="1" x14ac:dyDescent="0.5">
      <c r="A43" s="76" t="s">
        <v>30</v>
      </c>
      <c r="D43" s="158" t="s">
        <v>32</v>
      </c>
      <c r="E43" s="159"/>
      <c r="F43" s="160"/>
      <c r="G43" s="161"/>
      <c r="H43" s="161"/>
      <c r="I43" s="161"/>
      <c r="J43" s="161"/>
      <c r="K43" s="161"/>
      <c r="L43" s="161"/>
      <c r="M43" s="162"/>
    </row>
    <row r="44" spans="1:16" ht="80.099999999999994" customHeight="1" thickBot="1" x14ac:dyDescent="0.3">
      <c r="A44" s="76" t="s">
        <v>30</v>
      </c>
      <c r="D44" s="163" t="s">
        <v>51</v>
      </c>
      <c r="E44" s="164"/>
      <c r="F44" s="164"/>
      <c r="G44" s="164"/>
      <c r="H44" s="164"/>
      <c r="I44" s="164"/>
      <c r="J44" s="164"/>
      <c r="K44" s="164"/>
      <c r="L44" s="164"/>
      <c r="M44" s="165"/>
    </row>
    <row r="45" spans="1:16" ht="90" customHeight="1" thickBot="1" x14ac:dyDescent="0.3">
      <c r="A45" s="76" t="s">
        <v>30</v>
      </c>
      <c r="D45" s="166" t="str">
        <f>IF(F6="DELIVER",G6,F6)</f>
        <v>PICKUP</v>
      </c>
      <c r="E45" s="167"/>
      <c r="F45" s="167"/>
      <c r="G45" s="167"/>
      <c r="H45" s="167"/>
      <c r="I45" s="167"/>
      <c r="J45" s="167"/>
      <c r="K45" s="167"/>
      <c r="L45" s="167"/>
      <c r="M45" s="168"/>
    </row>
    <row r="46" spans="1:16" ht="60" customHeight="1" thickBot="1" x14ac:dyDescent="0.3">
      <c r="A46" s="76" t="s">
        <v>30</v>
      </c>
      <c r="D46" s="169" t="s">
        <v>55</v>
      </c>
      <c r="E46" s="170"/>
      <c r="F46" s="170"/>
      <c r="G46" s="170"/>
      <c r="H46" s="170"/>
      <c r="I46" s="170"/>
      <c r="J46" s="170"/>
      <c r="K46" s="170"/>
      <c r="L46" s="170"/>
      <c r="M46" s="171"/>
    </row>
  </sheetData>
  <mergeCells count="17">
    <mergeCell ref="D2:M2"/>
    <mergeCell ref="F15:M17"/>
    <mergeCell ref="D34:M34"/>
    <mergeCell ref="D36:M36"/>
    <mergeCell ref="D37:E37"/>
    <mergeCell ref="F37:M37"/>
    <mergeCell ref="D38:E38"/>
    <mergeCell ref="F38:M38"/>
    <mergeCell ref="D39:E39"/>
    <mergeCell ref="F40:M40"/>
    <mergeCell ref="D42:E42"/>
    <mergeCell ref="F42:M42"/>
    <mergeCell ref="D43:E43"/>
    <mergeCell ref="F43:M43"/>
    <mergeCell ref="D44:M44"/>
    <mergeCell ref="D45:M45"/>
    <mergeCell ref="D46:M46"/>
  </mergeCells>
  <conditionalFormatting sqref="F6">
    <cfRule type="cellIs" dxfId="404" priority="5" operator="equal">
      <formula>"DELIVER"</formula>
    </cfRule>
  </conditionalFormatting>
  <conditionalFormatting sqref="D36">
    <cfRule type="cellIs" dxfId="403" priority="4" operator="equal">
      <formula>"DELIVER"</formula>
    </cfRule>
  </conditionalFormatting>
  <conditionalFormatting sqref="D2:M2">
    <cfRule type="expression" dxfId="402" priority="3">
      <formula>$F$6="DELIVER"</formula>
    </cfRule>
  </conditionalFormatting>
  <conditionalFormatting sqref="G6">
    <cfRule type="expression" dxfId="401" priority="2">
      <formula>$F$6="DELIVER"</formula>
    </cfRule>
  </conditionalFormatting>
  <conditionalFormatting sqref="D45">
    <cfRule type="expression" dxfId="40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4" max="16383" man="1"/>
  </rowBreaks>
  <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/>
  </sheetViews>
  <sheetFormatPr defaultRowHeight="15" x14ac:dyDescent="0.25"/>
  <sheetData>
    <row r="1" spans="1:26" x14ac:dyDescent="0.25">
      <c r="A1" s="72" t="s">
        <v>1753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815</v>
      </c>
      <c r="E4" s="72" t="s">
        <v>37</v>
      </c>
      <c r="F4" s="72" t="s">
        <v>116</v>
      </c>
      <c r="K4" s="72" t="s">
        <v>42</v>
      </c>
      <c r="M4" s="72" t="s">
        <v>714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715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716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926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927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929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931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59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534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184</v>
      </c>
      <c r="F37" s="72" t="s">
        <v>928</v>
      </c>
    </row>
    <row r="38" spans="1:6" x14ac:dyDescent="0.25">
      <c r="A38" s="72" t="s">
        <v>184</v>
      </c>
      <c r="F38" s="72" t="s">
        <v>930</v>
      </c>
    </row>
    <row r="39" spans="1:6" x14ac:dyDescent="0.25">
      <c r="A39" s="72" t="s">
        <v>19</v>
      </c>
    </row>
    <row r="40" spans="1:6" x14ac:dyDescent="0.25">
      <c r="A40" s="72" t="s">
        <v>30</v>
      </c>
      <c r="D40" s="72" t="s">
        <v>50</v>
      </c>
      <c r="F40" s="72" t="s">
        <v>171</v>
      </c>
    </row>
    <row r="41" spans="1:6" x14ac:dyDescent="0.25">
      <c r="A41" s="72" t="s">
        <v>30</v>
      </c>
      <c r="D41" s="72" t="s">
        <v>32</v>
      </c>
    </row>
    <row r="42" spans="1:6" x14ac:dyDescent="0.25">
      <c r="A42" s="72" t="s">
        <v>30</v>
      </c>
      <c r="D42" s="72" t="s">
        <v>51</v>
      </c>
    </row>
    <row r="43" spans="1:6" x14ac:dyDescent="0.25">
      <c r="A43" s="72" t="s">
        <v>30</v>
      </c>
      <c r="D43" s="72" t="s">
        <v>172</v>
      </c>
    </row>
    <row r="44" spans="1:6" x14ac:dyDescent="0.25">
      <c r="A44" s="72" t="s">
        <v>30</v>
      </c>
      <c r="D44" s="72" t="s">
        <v>55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1755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940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944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59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184</v>
      </c>
      <c r="F34" s="72" t="s">
        <v>955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workbookViewId="0"/>
  </sheetViews>
  <sheetFormatPr defaultRowHeight="15" x14ac:dyDescent="0.25"/>
  <sheetData>
    <row r="1" spans="1:26" x14ac:dyDescent="0.25">
      <c r="A1" s="72" t="s">
        <v>1757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1567</v>
      </c>
      <c r="C2" s="72" t="s">
        <v>7</v>
      </c>
      <c r="D2" s="72" t="s">
        <v>1568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884</v>
      </c>
      <c r="E4" s="72" t="s">
        <v>37</v>
      </c>
      <c r="F4" s="72" t="s">
        <v>116</v>
      </c>
      <c r="K4" s="72" t="s">
        <v>42</v>
      </c>
      <c r="M4" s="72" t="s">
        <v>1642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1643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1644</v>
      </c>
      <c r="W6" s="72" t="s">
        <v>1572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1573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1574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148</v>
      </c>
      <c r="C13" s="72" t="s">
        <v>956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149</v>
      </c>
      <c r="C14" s="72" t="s">
        <v>957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150</v>
      </c>
      <c r="C15" s="72" t="s">
        <v>959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151</v>
      </c>
      <c r="C16" s="72" t="s">
        <v>961</v>
      </c>
      <c r="E16" s="72" t="s">
        <v>571</v>
      </c>
      <c r="F16" s="72" t="s">
        <v>575</v>
      </c>
    </row>
    <row r="17" spans="1:17" x14ac:dyDescent="0.25">
      <c r="A17" s="72" t="s">
        <v>173</v>
      </c>
      <c r="B17" s="72" t="s">
        <v>152</v>
      </c>
      <c r="C17" s="72" t="s">
        <v>963</v>
      </c>
      <c r="E17" s="72" t="s">
        <v>572</v>
      </c>
      <c r="F17" s="72" t="s">
        <v>576</v>
      </c>
    </row>
    <row r="18" spans="1:17" x14ac:dyDescent="0.25">
      <c r="A18" s="72" t="s">
        <v>173</v>
      </c>
      <c r="B18" s="72" t="s">
        <v>207</v>
      </c>
      <c r="C18" s="72" t="s">
        <v>965</v>
      </c>
      <c r="E18" s="72" t="s">
        <v>573</v>
      </c>
      <c r="F18" s="72" t="s">
        <v>577</v>
      </c>
    </row>
    <row r="19" spans="1:17" x14ac:dyDescent="0.25">
      <c r="A19" s="72" t="s">
        <v>6</v>
      </c>
      <c r="B19" s="72" t="s">
        <v>148</v>
      </c>
      <c r="C19" s="72" t="s">
        <v>135</v>
      </c>
      <c r="E19" s="72" t="s">
        <v>138</v>
      </c>
      <c r="F19" s="72" t="s">
        <v>139</v>
      </c>
    </row>
    <row r="20" spans="1:17" x14ac:dyDescent="0.25">
      <c r="A20" s="72" t="s">
        <v>6</v>
      </c>
      <c r="B20" s="72" t="s">
        <v>149</v>
      </c>
      <c r="E20" s="72" t="s">
        <v>1575</v>
      </c>
      <c r="F20" s="72" t="s">
        <v>1576</v>
      </c>
    </row>
    <row r="21" spans="1:17" x14ac:dyDescent="0.25">
      <c r="B21" s="72" t="s">
        <v>150</v>
      </c>
      <c r="E21" s="72" t="s">
        <v>20</v>
      </c>
      <c r="F21" s="72" t="s">
        <v>144</v>
      </c>
    </row>
    <row r="22" spans="1:17" x14ac:dyDescent="0.25">
      <c r="B22" s="72" t="s">
        <v>151</v>
      </c>
    </row>
    <row r="23" spans="1:17" x14ac:dyDescent="0.25">
      <c r="B23" s="72" t="s">
        <v>152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33</v>
      </c>
      <c r="H25" s="72" t="s">
        <v>53</v>
      </c>
    </row>
    <row r="26" spans="1:17" x14ac:dyDescent="0.25">
      <c r="B26" s="72" t="s">
        <v>226</v>
      </c>
    </row>
    <row r="27" spans="1:17" x14ac:dyDescent="0.25">
      <c r="B27" s="72" t="s">
        <v>534</v>
      </c>
      <c r="E27" s="72" t="s">
        <v>32</v>
      </c>
      <c r="H27" s="72" t="s">
        <v>54</v>
      </c>
    </row>
    <row r="28" spans="1:17" x14ac:dyDescent="0.25">
      <c r="B28" s="72" t="s">
        <v>535</v>
      </c>
      <c r="C28" s="72" t="s">
        <v>52</v>
      </c>
      <c r="D28" s="72" t="s">
        <v>52</v>
      </c>
    </row>
    <row r="29" spans="1:17" x14ac:dyDescent="0.25">
      <c r="B29" s="72" t="s">
        <v>536</v>
      </c>
      <c r="C29" s="72" t="s">
        <v>59</v>
      </c>
      <c r="D29" s="72" t="s">
        <v>28</v>
      </c>
      <c r="E29" s="72" t="s">
        <v>26</v>
      </c>
      <c r="F29" s="72" t="s">
        <v>29</v>
      </c>
      <c r="G29" s="72" t="s">
        <v>57</v>
      </c>
      <c r="H29" s="72" t="s">
        <v>27</v>
      </c>
      <c r="I29" s="72" t="s">
        <v>25</v>
      </c>
      <c r="J29" s="72" t="s">
        <v>10</v>
      </c>
      <c r="K29" s="72" t="s">
        <v>24</v>
      </c>
      <c r="M29" s="72" t="s">
        <v>31</v>
      </c>
      <c r="N29" s="72" t="s">
        <v>21</v>
      </c>
      <c r="O29" s="72" t="s">
        <v>22</v>
      </c>
      <c r="P29" s="72" t="s">
        <v>23</v>
      </c>
    </row>
    <row r="30" spans="1:17" ht="105" x14ac:dyDescent="0.25">
      <c r="B30" s="72" t="s">
        <v>236</v>
      </c>
      <c r="C30" s="72" t="s">
        <v>1577</v>
      </c>
      <c r="D30" s="72" t="s">
        <v>246</v>
      </c>
      <c r="E30" s="72" t="s">
        <v>251</v>
      </c>
      <c r="F30" s="72" t="s">
        <v>256</v>
      </c>
      <c r="G30" s="73" t="s">
        <v>237</v>
      </c>
      <c r="H30" s="72" t="s">
        <v>261</v>
      </c>
      <c r="I30" s="72" t="s">
        <v>266</v>
      </c>
      <c r="J30" s="72" t="s">
        <v>271</v>
      </c>
      <c r="N30" s="72" t="s">
        <v>238</v>
      </c>
      <c r="O30" s="72" t="s">
        <v>276</v>
      </c>
      <c r="P30" s="72" t="s">
        <v>281</v>
      </c>
      <c r="Q30" s="73" t="s">
        <v>56</v>
      </c>
    </row>
    <row r="31" spans="1:17" x14ac:dyDescent="0.25">
      <c r="B31" s="72" t="s">
        <v>536</v>
      </c>
    </row>
    <row r="32" spans="1:17" x14ac:dyDescent="0.25">
      <c r="B32" s="72" t="s">
        <v>680</v>
      </c>
      <c r="D32" s="72" t="s">
        <v>166</v>
      </c>
    </row>
    <row r="34" spans="1:6" x14ac:dyDescent="0.25">
      <c r="A34" s="72" t="s">
        <v>30</v>
      </c>
      <c r="D34" s="72" t="s">
        <v>167</v>
      </c>
    </row>
    <row r="35" spans="1:6" x14ac:dyDescent="0.25">
      <c r="A35" s="72" t="s">
        <v>30</v>
      </c>
      <c r="D35" s="72" t="s">
        <v>12</v>
      </c>
      <c r="F35" s="72" t="s">
        <v>168</v>
      </c>
    </row>
    <row r="36" spans="1:6" x14ac:dyDescent="0.25">
      <c r="A36" s="72" t="s">
        <v>30</v>
      </c>
      <c r="D36" s="72" t="s">
        <v>5</v>
      </c>
      <c r="F36" s="72" t="s">
        <v>169</v>
      </c>
    </row>
    <row r="37" spans="1:6" x14ac:dyDescent="0.25">
      <c r="A37" s="72" t="s">
        <v>19</v>
      </c>
      <c r="D37" s="72" t="s">
        <v>49</v>
      </c>
    </row>
    <row r="38" spans="1:6" x14ac:dyDescent="0.25">
      <c r="A38" s="72" t="s">
        <v>19</v>
      </c>
      <c r="F38" s="72" t="s">
        <v>170</v>
      </c>
    </row>
    <row r="39" spans="1:6" x14ac:dyDescent="0.25">
      <c r="A39" s="72" t="s">
        <v>184</v>
      </c>
      <c r="F39" s="72" t="s">
        <v>958</v>
      </c>
    </row>
    <row r="40" spans="1:6" x14ac:dyDescent="0.25">
      <c r="A40" s="72" t="s">
        <v>184</v>
      </c>
      <c r="F40" s="72" t="s">
        <v>960</v>
      </c>
    </row>
    <row r="41" spans="1:6" x14ac:dyDescent="0.25">
      <c r="A41" s="72" t="s">
        <v>184</v>
      </c>
      <c r="F41" s="72" t="s">
        <v>962</v>
      </c>
    </row>
    <row r="42" spans="1:6" x14ac:dyDescent="0.25">
      <c r="A42" s="72" t="s">
        <v>184</v>
      </c>
      <c r="F42" s="72" t="s">
        <v>964</v>
      </c>
    </row>
    <row r="43" spans="1:6" x14ac:dyDescent="0.25">
      <c r="A43" s="72" t="s">
        <v>19</v>
      </c>
    </row>
    <row r="44" spans="1:6" x14ac:dyDescent="0.25">
      <c r="A44" s="72" t="s">
        <v>30</v>
      </c>
      <c r="D44" s="72" t="s">
        <v>50</v>
      </c>
      <c r="F44" s="72" t="s">
        <v>171</v>
      </c>
    </row>
    <row r="45" spans="1:6" x14ac:dyDescent="0.25">
      <c r="A45" s="72" t="s">
        <v>30</v>
      </c>
      <c r="D45" s="72" t="s">
        <v>32</v>
      </c>
    </row>
    <row r="46" spans="1:6" x14ac:dyDescent="0.25">
      <c r="A46" s="72" t="s">
        <v>30</v>
      </c>
      <c r="D46" s="72" t="s">
        <v>51</v>
      </c>
    </row>
    <row r="47" spans="1:6" x14ac:dyDescent="0.25">
      <c r="A47" s="72" t="s">
        <v>30</v>
      </c>
      <c r="D47" s="72" t="s">
        <v>172</v>
      </c>
    </row>
    <row r="48" spans="1:6" x14ac:dyDescent="0.25">
      <c r="A48" s="72" t="s">
        <v>30</v>
      </c>
      <c r="D48" s="72" t="s">
        <v>55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1759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493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979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59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1761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809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983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59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/>
  </sheetViews>
  <sheetFormatPr defaultRowHeight="15" x14ac:dyDescent="0.25"/>
  <sheetData>
    <row r="1" spans="1:26" x14ac:dyDescent="0.25">
      <c r="A1" s="72" t="s">
        <v>1763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852</v>
      </c>
      <c r="E4" s="72" t="s">
        <v>37</v>
      </c>
      <c r="F4" s="72" t="s">
        <v>116</v>
      </c>
      <c r="K4" s="72" t="s">
        <v>42</v>
      </c>
      <c r="M4" s="72" t="s">
        <v>714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715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716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990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991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992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994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59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534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184</v>
      </c>
      <c r="F37" s="72" t="s">
        <v>993</v>
      </c>
    </row>
    <row r="38" spans="1:6" x14ac:dyDescent="0.25">
      <c r="A38" s="72" t="s">
        <v>19</v>
      </c>
    </row>
    <row r="39" spans="1:6" x14ac:dyDescent="0.25">
      <c r="A39" s="72" t="s">
        <v>30</v>
      </c>
      <c r="D39" s="72" t="s">
        <v>50</v>
      </c>
      <c r="F39" s="72" t="s">
        <v>171</v>
      </c>
    </row>
    <row r="40" spans="1:6" x14ac:dyDescent="0.25">
      <c r="A40" s="72" t="s">
        <v>30</v>
      </c>
      <c r="D40" s="72" t="s">
        <v>32</v>
      </c>
    </row>
    <row r="41" spans="1:6" x14ac:dyDescent="0.25">
      <c r="A41" s="72" t="s">
        <v>30</v>
      </c>
      <c r="D41" s="72" t="s">
        <v>51</v>
      </c>
    </row>
    <row r="42" spans="1:6" x14ac:dyDescent="0.25">
      <c r="A42" s="72" t="s">
        <v>30</v>
      </c>
      <c r="D42" s="72" t="s">
        <v>172</v>
      </c>
    </row>
    <row r="43" spans="1:6" x14ac:dyDescent="0.25">
      <c r="A43" s="72" t="s">
        <v>30</v>
      </c>
      <c r="D43" s="72" t="s">
        <v>55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1765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999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1003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59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workbookViewId="0"/>
  </sheetViews>
  <sheetFormatPr defaultRowHeight="15" x14ac:dyDescent="0.25"/>
  <sheetData>
    <row r="1" spans="1:26" x14ac:dyDescent="0.25">
      <c r="A1" s="72" t="s">
        <v>1767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1589</v>
      </c>
      <c r="C2" s="72" t="s">
        <v>7</v>
      </c>
      <c r="D2" s="72" t="s">
        <v>1590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841</v>
      </c>
      <c r="E4" s="72" t="s">
        <v>37</v>
      </c>
      <c r="F4" s="72" t="s">
        <v>116</v>
      </c>
      <c r="K4" s="72" t="s">
        <v>42</v>
      </c>
      <c r="M4" s="72" t="s">
        <v>1655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1656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1657</v>
      </c>
      <c r="W6" s="72" t="s">
        <v>1594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433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1595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152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207</v>
      </c>
      <c r="C13" s="72" t="s">
        <v>1008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225</v>
      </c>
      <c r="C14" s="72" t="s">
        <v>1009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226</v>
      </c>
      <c r="C15" s="72" t="s">
        <v>1010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534</v>
      </c>
      <c r="C16" s="72" t="s">
        <v>1011</v>
      </c>
      <c r="E16" s="72" t="s">
        <v>571</v>
      </c>
      <c r="F16" s="72" t="s">
        <v>575</v>
      </c>
    </row>
    <row r="17" spans="1:8" x14ac:dyDescent="0.25">
      <c r="A17" s="72" t="s">
        <v>173</v>
      </c>
      <c r="B17" s="72" t="s">
        <v>535</v>
      </c>
      <c r="C17" s="72" t="s">
        <v>1012</v>
      </c>
      <c r="E17" s="72" t="s">
        <v>572</v>
      </c>
      <c r="F17" s="72" t="s">
        <v>576</v>
      </c>
    </row>
    <row r="18" spans="1:8" x14ac:dyDescent="0.25">
      <c r="A18" s="72" t="s">
        <v>173</v>
      </c>
      <c r="B18" s="72" t="s">
        <v>536</v>
      </c>
      <c r="C18" s="72" t="s">
        <v>1013</v>
      </c>
      <c r="E18" s="72" t="s">
        <v>573</v>
      </c>
      <c r="F18" s="72" t="s">
        <v>577</v>
      </c>
    </row>
    <row r="19" spans="1:8" x14ac:dyDescent="0.25">
      <c r="A19" s="72" t="s">
        <v>173</v>
      </c>
      <c r="B19" s="72" t="s">
        <v>537</v>
      </c>
      <c r="C19" s="72" t="s">
        <v>1015</v>
      </c>
      <c r="E19" s="72" t="s">
        <v>574</v>
      </c>
      <c r="F19" s="72" t="s">
        <v>578</v>
      </c>
    </row>
    <row r="20" spans="1:8" x14ac:dyDescent="0.25">
      <c r="A20" s="72" t="s">
        <v>173</v>
      </c>
      <c r="B20" s="72" t="s">
        <v>710</v>
      </c>
      <c r="C20" s="72" t="s">
        <v>1017</v>
      </c>
      <c r="E20" s="72" t="s">
        <v>712</v>
      </c>
      <c r="F20" s="72" t="s">
        <v>713</v>
      </c>
    </row>
    <row r="21" spans="1:8" x14ac:dyDescent="0.25">
      <c r="A21" s="72" t="s">
        <v>173</v>
      </c>
      <c r="B21" s="72" t="s">
        <v>1014</v>
      </c>
      <c r="C21" s="72" t="s">
        <v>1019</v>
      </c>
      <c r="E21" s="72" t="s">
        <v>1028</v>
      </c>
      <c r="F21" s="72" t="s">
        <v>1031</v>
      </c>
    </row>
    <row r="22" spans="1:8" x14ac:dyDescent="0.25">
      <c r="A22" s="72" t="s">
        <v>173</v>
      </c>
      <c r="B22" s="72" t="s">
        <v>1016</v>
      </c>
      <c r="C22" s="72" t="s">
        <v>1020</v>
      </c>
      <c r="E22" s="72" t="s">
        <v>1029</v>
      </c>
      <c r="F22" s="72" t="s">
        <v>1032</v>
      </c>
    </row>
    <row r="23" spans="1:8" x14ac:dyDescent="0.25">
      <c r="A23" s="72" t="s">
        <v>173</v>
      </c>
      <c r="B23" s="72" t="s">
        <v>1018</v>
      </c>
      <c r="C23" s="72" t="s">
        <v>1021</v>
      </c>
      <c r="E23" s="72" t="s">
        <v>1030</v>
      </c>
      <c r="F23" s="72" t="s">
        <v>1033</v>
      </c>
    </row>
    <row r="24" spans="1:8" x14ac:dyDescent="0.25">
      <c r="A24" s="72" t="s">
        <v>6</v>
      </c>
      <c r="B24" s="72" t="s">
        <v>207</v>
      </c>
      <c r="C24" s="72" t="s">
        <v>135</v>
      </c>
      <c r="E24" s="72" t="s">
        <v>138</v>
      </c>
      <c r="F24" s="72" t="s">
        <v>139</v>
      </c>
    </row>
    <row r="25" spans="1:8" x14ac:dyDescent="0.25">
      <c r="A25" s="72" t="s">
        <v>6</v>
      </c>
      <c r="B25" s="72" t="s">
        <v>225</v>
      </c>
      <c r="E25" s="72" t="s">
        <v>1596</v>
      </c>
      <c r="F25" s="72" t="s">
        <v>1597</v>
      </c>
    </row>
    <row r="26" spans="1:8" x14ac:dyDescent="0.25">
      <c r="B26" s="72" t="s">
        <v>226</v>
      </c>
      <c r="E26" s="72" t="s">
        <v>20</v>
      </c>
      <c r="F26" s="72" t="s">
        <v>144</v>
      </c>
    </row>
    <row r="27" spans="1:8" x14ac:dyDescent="0.25">
      <c r="B27" s="72" t="s">
        <v>534</v>
      </c>
    </row>
    <row r="28" spans="1:8" x14ac:dyDescent="0.25">
      <c r="B28" s="72" t="s">
        <v>535</v>
      </c>
    </row>
    <row r="29" spans="1:8" x14ac:dyDescent="0.25">
      <c r="B29" s="72" t="s">
        <v>536</v>
      </c>
    </row>
    <row r="30" spans="1:8" x14ac:dyDescent="0.25">
      <c r="B30" s="72" t="s">
        <v>537</v>
      </c>
      <c r="E30" s="72" t="s">
        <v>33</v>
      </c>
      <c r="H30" s="72" t="s">
        <v>53</v>
      </c>
    </row>
    <row r="31" spans="1:8" x14ac:dyDescent="0.25">
      <c r="B31" s="72" t="s">
        <v>710</v>
      </c>
    </row>
    <row r="32" spans="1:8" x14ac:dyDescent="0.25">
      <c r="B32" s="72" t="s">
        <v>1014</v>
      </c>
      <c r="E32" s="72" t="s">
        <v>32</v>
      </c>
      <c r="H32" s="72" t="s">
        <v>54</v>
      </c>
    </row>
    <row r="33" spans="1:17" x14ac:dyDescent="0.25">
      <c r="B33" s="72" t="s">
        <v>1016</v>
      </c>
      <c r="C33" s="72" t="s">
        <v>52</v>
      </c>
      <c r="D33" s="72" t="s">
        <v>52</v>
      </c>
    </row>
    <row r="34" spans="1:17" x14ac:dyDescent="0.25">
      <c r="B34" s="72" t="s">
        <v>1018</v>
      </c>
      <c r="C34" s="72" t="s">
        <v>59</v>
      </c>
      <c r="D34" s="72" t="s">
        <v>28</v>
      </c>
      <c r="E34" s="72" t="s">
        <v>26</v>
      </c>
      <c r="F34" s="72" t="s">
        <v>29</v>
      </c>
      <c r="G34" s="72" t="s">
        <v>57</v>
      </c>
      <c r="H34" s="72" t="s">
        <v>27</v>
      </c>
      <c r="I34" s="72" t="s">
        <v>25</v>
      </c>
      <c r="J34" s="72" t="s">
        <v>10</v>
      </c>
      <c r="K34" s="72" t="s">
        <v>24</v>
      </c>
      <c r="M34" s="72" t="s">
        <v>31</v>
      </c>
      <c r="N34" s="72" t="s">
        <v>21</v>
      </c>
      <c r="O34" s="72" t="s">
        <v>22</v>
      </c>
      <c r="P34" s="72" t="s">
        <v>23</v>
      </c>
    </row>
    <row r="35" spans="1:17" ht="105" x14ac:dyDescent="0.25">
      <c r="B35" s="72" t="s">
        <v>306</v>
      </c>
      <c r="C35" s="72" t="s">
        <v>1598</v>
      </c>
      <c r="D35" s="72" t="s">
        <v>322</v>
      </c>
      <c r="E35" s="72" t="s">
        <v>330</v>
      </c>
      <c r="F35" s="72" t="s">
        <v>338</v>
      </c>
      <c r="G35" s="73" t="s">
        <v>307</v>
      </c>
      <c r="H35" s="72" t="s">
        <v>346</v>
      </c>
      <c r="I35" s="72" t="s">
        <v>354</v>
      </c>
      <c r="J35" s="72" t="s">
        <v>362</v>
      </c>
      <c r="N35" s="72" t="s">
        <v>308</v>
      </c>
      <c r="O35" s="72" t="s">
        <v>370</v>
      </c>
      <c r="P35" s="72" t="s">
        <v>378</v>
      </c>
      <c r="Q35" s="73" t="s">
        <v>56</v>
      </c>
    </row>
    <row r="36" spans="1:17" x14ac:dyDescent="0.25">
      <c r="B36" s="72" t="s">
        <v>1018</v>
      </c>
    </row>
    <row r="37" spans="1:17" x14ac:dyDescent="0.25">
      <c r="B37" s="72" t="s">
        <v>668</v>
      </c>
      <c r="D37" s="72" t="s">
        <v>166</v>
      </c>
    </row>
    <row r="39" spans="1:17" x14ac:dyDescent="0.25">
      <c r="A39" s="72" t="s">
        <v>30</v>
      </c>
      <c r="D39" s="72" t="s">
        <v>167</v>
      </c>
    </row>
    <row r="40" spans="1:17" x14ac:dyDescent="0.25">
      <c r="A40" s="72" t="s">
        <v>30</v>
      </c>
      <c r="D40" s="72" t="s">
        <v>12</v>
      </c>
      <c r="F40" s="72" t="s">
        <v>168</v>
      </c>
    </row>
    <row r="41" spans="1:17" x14ac:dyDescent="0.25">
      <c r="A41" s="72" t="s">
        <v>30</v>
      </c>
      <c r="D41" s="72" t="s">
        <v>5</v>
      </c>
      <c r="F41" s="72" t="s">
        <v>169</v>
      </c>
    </row>
    <row r="42" spans="1:17" x14ac:dyDescent="0.25">
      <c r="A42" s="72" t="s">
        <v>19</v>
      </c>
      <c r="D42" s="72" t="s">
        <v>49</v>
      </c>
    </row>
    <row r="43" spans="1:17" x14ac:dyDescent="0.25">
      <c r="A43" s="72" t="s">
        <v>19</v>
      </c>
      <c r="F43" s="72" t="s">
        <v>170</v>
      </c>
    </row>
    <row r="44" spans="1:17" x14ac:dyDescent="0.25">
      <c r="A44" s="72" t="s">
        <v>184</v>
      </c>
      <c r="F44" s="72" t="s">
        <v>1022</v>
      </c>
    </row>
    <row r="45" spans="1:17" x14ac:dyDescent="0.25">
      <c r="A45" s="72" t="s">
        <v>184</v>
      </c>
      <c r="F45" s="72" t="s">
        <v>1023</v>
      </c>
    </row>
    <row r="46" spans="1:17" x14ac:dyDescent="0.25">
      <c r="A46" s="72" t="s">
        <v>184</v>
      </c>
      <c r="F46" s="72" t="s">
        <v>1024</v>
      </c>
    </row>
    <row r="47" spans="1:17" x14ac:dyDescent="0.25">
      <c r="A47" s="72" t="s">
        <v>184</v>
      </c>
      <c r="F47" s="72" t="s">
        <v>1025</v>
      </c>
    </row>
    <row r="48" spans="1:17" x14ac:dyDescent="0.25">
      <c r="A48" s="72" t="s">
        <v>184</v>
      </c>
      <c r="F48" s="72" t="s">
        <v>1026</v>
      </c>
    </row>
    <row r="49" spans="1:6" x14ac:dyDescent="0.25">
      <c r="A49" s="72" t="s">
        <v>184</v>
      </c>
      <c r="F49" s="72" t="s">
        <v>1027</v>
      </c>
    </row>
    <row r="50" spans="1:6" x14ac:dyDescent="0.25">
      <c r="A50" s="72" t="s">
        <v>19</v>
      </c>
    </row>
    <row r="51" spans="1:6" x14ac:dyDescent="0.25">
      <c r="A51" s="72" t="s">
        <v>30</v>
      </c>
      <c r="D51" s="72" t="s">
        <v>50</v>
      </c>
      <c r="F51" s="72" t="s">
        <v>171</v>
      </c>
    </row>
    <row r="52" spans="1:6" x14ac:dyDescent="0.25">
      <c r="A52" s="72" t="s">
        <v>30</v>
      </c>
      <c r="D52" s="72" t="s">
        <v>32</v>
      </c>
    </row>
    <row r="53" spans="1:6" x14ac:dyDescent="0.25">
      <c r="A53" s="72" t="s">
        <v>30</v>
      </c>
      <c r="D53" s="72" t="s">
        <v>51</v>
      </c>
    </row>
    <row r="54" spans="1:6" x14ac:dyDescent="0.25">
      <c r="A54" s="72" t="s">
        <v>30</v>
      </c>
      <c r="D54" s="72" t="s">
        <v>172</v>
      </c>
    </row>
    <row r="55" spans="1:6" x14ac:dyDescent="0.25">
      <c r="A55" s="72" t="s">
        <v>30</v>
      </c>
      <c r="D55" s="72" t="s">
        <v>55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1769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847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1034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59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1771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816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1038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59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Z43"/>
  <sheetViews>
    <sheetView tabSelected="1" topLeftCell="D6" zoomScale="120" zoomScaleNormal="120" workbookViewId="0">
      <selection activeCell="H28" sqref="H28"/>
    </sheetView>
  </sheetViews>
  <sheetFormatPr defaultRowHeight="15" x14ac:dyDescent="0.25"/>
  <cols>
    <col min="1" max="1" width="18.85546875" hidden="1" customWidth="1"/>
    <col min="2" max="3" width="20.7109375" hidden="1" customWidth="1"/>
    <col min="4" max="4" width="3.7109375" customWidth="1"/>
    <col min="5" max="5" width="9.140625" style="50" hidden="1" customWidth="1"/>
    <col min="6" max="6" width="15.7109375" hidden="1" customWidth="1"/>
    <col min="7" max="7" width="9.140625" style="50" hidden="1" customWidth="1"/>
    <col min="8" max="8" width="18.7109375" customWidth="1"/>
    <col min="9" max="9" width="45.7109375" customWidth="1"/>
    <col min="10" max="10" width="9.140625" style="50" hidden="1" customWidth="1"/>
    <col min="11" max="11" width="15.42578125" hidden="1" customWidth="1"/>
    <col min="12" max="12" width="17.28515625" hidden="1" customWidth="1"/>
    <col min="13" max="13" width="9.140625" style="50" hidden="1" customWidth="1"/>
    <col min="14" max="14" width="8.42578125" style="50" hidden="1" customWidth="1"/>
    <col min="15" max="15" width="6.7109375" hidden="1" customWidth="1"/>
    <col min="16" max="17" width="8.7109375" hidden="1" customWidth="1"/>
    <col min="18" max="18" width="13.140625" hidden="1" customWidth="1"/>
    <col min="23" max="25" width="5.7109375" customWidth="1"/>
    <col min="26" max="26" width="16.7109375" customWidth="1"/>
  </cols>
  <sheetData>
    <row r="1" spans="1:26" hidden="1" x14ac:dyDescent="0.25">
      <c r="A1" t="s">
        <v>1550</v>
      </c>
      <c r="B1" t="s">
        <v>11</v>
      </c>
      <c r="C1" t="s">
        <v>6</v>
      </c>
      <c r="E1" s="50" t="s">
        <v>6</v>
      </c>
      <c r="F1" t="s">
        <v>19</v>
      </c>
      <c r="G1" s="50" t="s">
        <v>6</v>
      </c>
      <c r="H1" t="s">
        <v>30</v>
      </c>
      <c r="I1" s="50" t="s">
        <v>30</v>
      </c>
      <c r="J1" s="50" t="s">
        <v>6</v>
      </c>
      <c r="K1" t="s">
        <v>19</v>
      </c>
      <c r="L1" t="s">
        <v>19</v>
      </c>
      <c r="M1" s="50" t="s">
        <v>6</v>
      </c>
      <c r="N1" t="s">
        <v>19</v>
      </c>
      <c r="O1" t="s">
        <v>19</v>
      </c>
      <c r="P1" t="s">
        <v>19</v>
      </c>
      <c r="Q1" t="s">
        <v>19</v>
      </c>
      <c r="R1" t="s">
        <v>19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</row>
    <row r="2" spans="1:26" hidden="1" x14ac:dyDescent="0.25">
      <c r="A2" t="s">
        <v>6</v>
      </c>
      <c r="B2" t="s">
        <v>62</v>
      </c>
      <c r="C2" s="51" t="str">
        <f>+Options!C3</f>
        <v>8/30/2016</v>
      </c>
      <c r="D2" s="52"/>
    </row>
    <row r="3" spans="1:26" hidden="1" x14ac:dyDescent="0.25">
      <c r="A3" t="s">
        <v>6</v>
      </c>
      <c r="B3" t="s">
        <v>63</v>
      </c>
      <c r="C3" s="51" t="str">
        <f>+Options!C8</f>
        <v>Ceres NTFB Live</v>
      </c>
      <c r="D3" s="52"/>
    </row>
    <row r="4" spans="1:26" hidden="1" x14ac:dyDescent="0.25">
      <c r="A4" t="s">
        <v>6</v>
      </c>
      <c r="C4" s="52"/>
      <c r="D4" s="52"/>
    </row>
    <row r="5" spans="1:26" hidden="1" x14ac:dyDescent="0.25">
      <c r="A5" t="s">
        <v>6</v>
      </c>
      <c r="C5" s="52"/>
      <c r="D5" s="52"/>
    </row>
    <row r="6" spans="1:26" ht="26.25" x14ac:dyDescent="0.4">
      <c r="D6" s="53" t="str">
        <f>"PICK TICKET LOG  -  ORDERS TO SHIP ON "&amp;C2</f>
        <v>PICK TICKET LOG  -  ORDERS TO SHIP ON 8/30/2016</v>
      </c>
      <c r="F6" s="53"/>
      <c r="Z6" s="53"/>
    </row>
    <row r="8" spans="1:26" ht="27" thickBot="1" x14ac:dyDescent="0.45">
      <c r="D8" s="54" t="s">
        <v>60</v>
      </c>
      <c r="E8" s="49"/>
      <c r="F8" s="54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54"/>
    </row>
    <row r="9" spans="1:26" ht="17.25" thickTop="1" thickBot="1" x14ac:dyDescent="0.3">
      <c r="F9" s="55" t="s">
        <v>64</v>
      </c>
      <c r="H9" s="56" t="s">
        <v>65</v>
      </c>
      <c r="I9" s="56" t="s">
        <v>66</v>
      </c>
      <c r="J9" s="57"/>
      <c r="K9" s="56" t="s">
        <v>67</v>
      </c>
      <c r="L9" s="56"/>
      <c r="M9" s="57"/>
      <c r="N9" s="56"/>
      <c r="O9" s="56"/>
      <c r="P9" s="56"/>
      <c r="Q9" s="56"/>
      <c r="R9" s="56" t="s">
        <v>68</v>
      </c>
      <c r="S9" s="56" t="s">
        <v>69</v>
      </c>
      <c r="T9" s="56" t="s">
        <v>70</v>
      </c>
      <c r="U9" s="56" t="s">
        <v>71</v>
      </c>
      <c r="V9" s="56" t="s">
        <v>72</v>
      </c>
      <c r="W9" s="56" t="s">
        <v>183</v>
      </c>
      <c r="X9" s="56" t="s">
        <v>57</v>
      </c>
      <c r="Y9" s="56" t="s">
        <v>45</v>
      </c>
      <c r="Z9" s="56" t="s">
        <v>64</v>
      </c>
    </row>
    <row r="10" spans="1:26" ht="16.5" hidden="1" thickTop="1" thickBot="1" x14ac:dyDescent="0.3">
      <c r="A10" t="s">
        <v>6</v>
      </c>
      <c r="E10" s="71" t="str">
        <f>F10</f>
        <v>COLLIN 1</v>
      </c>
      <c r="F10" s="71" t="s">
        <v>898</v>
      </c>
      <c r="H10" t="s">
        <v>74</v>
      </c>
      <c r="I10" s="58" t="s">
        <v>75</v>
      </c>
      <c r="K10" t="s">
        <v>76</v>
      </c>
      <c r="L10" t="s">
        <v>77</v>
      </c>
    </row>
    <row r="11" spans="1:26" ht="20.25" thickTop="1" thickBot="1" x14ac:dyDescent="0.35">
      <c r="B11" t="str">
        <f>IF(R11="F4K","HIDE","SHOW")</f>
        <v>SHOW</v>
      </c>
      <c r="E11" s="71" t="str">
        <f>E10</f>
        <v>COLLIN 1</v>
      </c>
      <c r="F11" s="59" t="s">
        <v>898</v>
      </c>
      <c r="G11" s="60" t="str">
        <f>H11</f>
        <v>026637P</v>
      </c>
      <c r="H11" s="59" t="s">
        <v>899</v>
      </c>
      <c r="I11" s="61" t="s">
        <v>1173</v>
      </c>
      <c r="J11" s="57"/>
      <c r="K11" s="62" t="s">
        <v>1174</v>
      </c>
      <c r="L11" s="59" t="s">
        <v>727</v>
      </c>
      <c r="M11" s="57"/>
      <c r="N11" s="60"/>
      <c r="O11" s="63"/>
      <c r="P11" s="63"/>
      <c r="Q11" s="63"/>
      <c r="R11" s="62" t="s">
        <v>178</v>
      </c>
      <c r="S11" s="59"/>
      <c r="T11" s="59"/>
      <c r="U11" s="59"/>
      <c r="V11" s="59"/>
      <c r="W11" s="59"/>
      <c r="X11" s="59"/>
      <c r="Y11" s="59"/>
      <c r="Z11" s="59" t="str">
        <f>+F11</f>
        <v>COLLIN 1</v>
      </c>
    </row>
    <row r="12" spans="1:26" ht="20.25" thickTop="1" thickBot="1" x14ac:dyDescent="0.35">
      <c r="A12" t="s">
        <v>174</v>
      </c>
      <c r="B12" t="str">
        <f t="shared" ref="B12:B13" si="0">IF(R12="F4K","HIDE","SHOW")</f>
        <v>SHOW</v>
      </c>
      <c r="E12" s="71" t="str">
        <f t="shared" ref="E12:E13" si="1">E11</f>
        <v>COLLIN 1</v>
      </c>
      <c r="F12" s="59" t="s">
        <v>898</v>
      </c>
      <c r="G12" s="60" t="str">
        <f t="shared" ref="G12:G13" si="2">H12</f>
        <v>026077P</v>
      </c>
      <c r="H12" s="59" t="str">
        <f>"026077P"</f>
        <v>026077P</v>
      </c>
      <c r="I12" s="61" t="s">
        <v>1175</v>
      </c>
      <c r="J12" s="57"/>
      <c r="K12" s="62" t="s">
        <v>1174</v>
      </c>
      <c r="L12" s="59" t="s">
        <v>176</v>
      </c>
      <c r="M12" s="57"/>
      <c r="N12" s="60"/>
      <c r="O12" s="63"/>
      <c r="P12" s="63"/>
      <c r="Q12" s="63"/>
      <c r="R12" s="62" t="s">
        <v>178</v>
      </c>
      <c r="S12" s="59"/>
      <c r="T12" s="59"/>
      <c r="U12" s="59"/>
      <c r="V12" s="59"/>
      <c r="W12" s="59"/>
      <c r="X12" s="59"/>
      <c r="Y12" s="59"/>
      <c r="Z12" s="59" t="str">
        <f t="shared" ref="Z12:Z13" si="3">+F12</f>
        <v>COLLIN 1</v>
      </c>
    </row>
    <row r="13" spans="1:26" ht="20.25" thickTop="1" thickBot="1" x14ac:dyDescent="0.35">
      <c r="A13" t="s">
        <v>174</v>
      </c>
      <c r="B13" t="str">
        <f t="shared" si="0"/>
        <v>SHOW</v>
      </c>
      <c r="E13" s="71" t="str">
        <f t="shared" si="1"/>
        <v>COLLIN 1</v>
      </c>
      <c r="F13" s="59" t="s">
        <v>898</v>
      </c>
      <c r="G13" s="60" t="str">
        <f t="shared" si="2"/>
        <v>026508P</v>
      </c>
      <c r="H13" s="59" t="str">
        <f>"026508P"</f>
        <v>026508P</v>
      </c>
      <c r="I13" s="61" t="s">
        <v>1176</v>
      </c>
      <c r="J13" s="57"/>
      <c r="K13" s="62" t="s">
        <v>1174</v>
      </c>
      <c r="L13" s="59" t="s">
        <v>285</v>
      </c>
      <c r="M13" s="57"/>
      <c r="N13" s="60"/>
      <c r="O13" s="63"/>
      <c r="P13" s="63"/>
      <c r="Q13" s="63"/>
      <c r="R13" s="62" t="s">
        <v>178</v>
      </c>
      <c r="S13" s="59"/>
      <c r="T13" s="59"/>
      <c r="U13" s="59"/>
      <c r="V13" s="59"/>
      <c r="W13" s="59"/>
      <c r="X13" s="59"/>
      <c r="Y13" s="59"/>
      <c r="Z13" s="59" t="str">
        <f t="shared" si="3"/>
        <v>COLLIN 1</v>
      </c>
    </row>
    <row r="14" spans="1:26" ht="16.5" hidden="1" thickTop="1" thickBot="1" x14ac:dyDescent="0.3">
      <c r="A14" t="s">
        <v>173</v>
      </c>
      <c r="E14" s="71" t="str">
        <f t="shared" ref="E14" si="4">F14</f>
        <v>COLLIN 3</v>
      </c>
      <c r="F14" s="71" t="str">
        <f>"COLLIN 3"</f>
        <v>COLLIN 3</v>
      </c>
      <c r="H14" t="s">
        <v>74</v>
      </c>
      <c r="I14" s="58" t="s">
        <v>75</v>
      </c>
      <c r="K14" t="s">
        <v>76</v>
      </c>
      <c r="L14" t="s">
        <v>77</v>
      </c>
    </row>
    <row r="15" spans="1:26" ht="20.25" thickTop="1" thickBot="1" x14ac:dyDescent="0.35">
      <c r="A15" t="s">
        <v>174</v>
      </c>
      <c r="B15" t="str">
        <f t="shared" ref="B15" si="5">IF(R15="F4K","HIDE","SHOW")</f>
        <v>SHOW</v>
      </c>
      <c r="E15" s="71" t="str">
        <f t="shared" ref="E15" si="6">E14</f>
        <v>COLLIN 3</v>
      </c>
      <c r="F15" s="59" t="s">
        <v>1198</v>
      </c>
      <c r="G15" s="60" t="str">
        <f t="shared" ref="G15:G18" si="7">H15</f>
        <v>026030P</v>
      </c>
      <c r="H15" s="59" t="s">
        <v>900</v>
      </c>
      <c r="I15" s="61" t="s">
        <v>1177</v>
      </c>
      <c r="J15" s="57"/>
      <c r="K15" s="62" t="s">
        <v>177</v>
      </c>
      <c r="L15" s="59" t="s">
        <v>175</v>
      </c>
      <c r="M15" s="57"/>
      <c r="N15" s="60"/>
      <c r="O15" s="63"/>
      <c r="P15" s="63"/>
      <c r="Q15" s="63"/>
      <c r="R15" s="62" t="s">
        <v>178</v>
      </c>
      <c r="S15" s="59"/>
      <c r="T15" s="59"/>
      <c r="U15" s="59"/>
      <c r="V15" s="59"/>
      <c r="W15" s="59"/>
      <c r="X15" s="59"/>
      <c r="Y15" s="59"/>
      <c r="Z15" s="59" t="str">
        <f t="shared" ref="Z15" si="8">+F15</f>
        <v>COLLIN 3</v>
      </c>
    </row>
    <row r="16" spans="1:26" ht="20.25" thickTop="1" thickBot="1" x14ac:dyDescent="0.35">
      <c r="A16" t="s">
        <v>174</v>
      </c>
      <c r="B16" t="str">
        <f t="shared" ref="B16:B18" si="9">IF(R16="F4K","HIDE","SHOW")</f>
        <v>SHOW</v>
      </c>
      <c r="E16" s="71" t="str">
        <f t="shared" ref="E16:E18" si="10">E15</f>
        <v>COLLIN 3</v>
      </c>
      <c r="F16" s="59" t="s">
        <v>1198</v>
      </c>
      <c r="G16" s="60" t="str">
        <f t="shared" si="7"/>
        <v>002719P</v>
      </c>
      <c r="H16" s="59" t="str">
        <f>"002719P"</f>
        <v>002719P</v>
      </c>
      <c r="I16" s="61" t="s">
        <v>1178</v>
      </c>
      <c r="J16" s="57"/>
      <c r="K16" s="62" t="s">
        <v>1179</v>
      </c>
      <c r="L16" s="59" t="s">
        <v>175</v>
      </c>
      <c r="M16" s="57"/>
      <c r="N16" s="60"/>
      <c r="O16" s="63"/>
      <c r="P16" s="63"/>
      <c r="Q16" s="63"/>
      <c r="R16" s="62" t="s">
        <v>178</v>
      </c>
      <c r="S16" s="59"/>
      <c r="T16" s="59"/>
      <c r="U16" s="59"/>
      <c r="V16" s="59"/>
      <c r="W16" s="59"/>
      <c r="X16" s="59"/>
      <c r="Y16" s="59"/>
      <c r="Z16" s="59" t="str">
        <f t="shared" ref="Z16:Z18" si="11">+F16</f>
        <v>COLLIN 3</v>
      </c>
    </row>
    <row r="17" spans="1:26" ht="20.25" thickTop="1" thickBot="1" x14ac:dyDescent="0.35">
      <c r="A17" t="s">
        <v>174</v>
      </c>
      <c r="B17" t="str">
        <f t="shared" si="9"/>
        <v>SHOW</v>
      </c>
      <c r="E17" s="71" t="str">
        <f t="shared" si="10"/>
        <v>COLLIN 3</v>
      </c>
      <c r="F17" s="59" t="s">
        <v>1198</v>
      </c>
      <c r="G17" s="60" t="str">
        <f t="shared" si="7"/>
        <v>002127P</v>
      </c>
      <c r="H17" s="59" t="str">
        <f>"002127P"</f>
        <v>002127P</v>
      </c>
      <c r="I17" s="61" t="s">
        <v>1180</v>
      </c>
      <c r="J17" s="57"/>
      <c r="K17" s="62" t="s">
        <v>177</v>
      </c>
      <c r="L17" s="59" t="s">
        <v>728</v>
      </c>
      <c r="M17" s="57"/>
      <c r="N17" s="60"/>
      <c r="O17" s="63"/>
      <c r="P17" s="63"/>
      <c r="Q17" s="63"/>
      <c r="R17" s="62" t="s">
        <v>178</v>
      </c>
      <c r="S17" s="59"/>
      <c r="T17" s="59"/>
      <c r="U17" s="59"/>
      <c r="V17" s="59"/>
      <c r="W17" s="59"/>
      <c r="X17" s="59"/>
      <c r="Y17" s="59"/>
      <c r="Z17" s="59" t="str">
        <f t="shared" si="11"/>
        <v>COLLIN 3</v>
      </c>
    </row>
    <row r="18" spans="1:26" ht="20.25" thickTop="1" thickBot="1" x14ac:dyDescent="0.35">
      <c r="A18" t="s">
        <v>174</v>
      </c>
      <c r="B18" t="str">
        <f t="shared" si="9"/>
        <v>SHOW</v>
      </c>
      <c r="E18" s="71" t="str">
        <f t="shared" si="10"/>
        <v>COLLIN 3</v>
      </c>
      <c r="F18" s="59" t="s">
        <v>1198</v>
      </c>
      <c r="G18" s="60" t="str">
        <f t="shared" si="7"/>
        <v>008146P</v>
      </c>
      <c r="H18" s="59" t="str">
        <f>"008146P"</f>
        <v>008146P</v>
      </c>
      <c r="I18" s="61" t="s">
        <v>1181</v>
      </c>
      <c r="J18" s="57"/>
      <c r="K18" s="62" t="s">
        <v>1174</v>
      </c>
      <c r="L18" s="59" t="s">
        <v>175</v>
      </c>
      <c r="M18" s="57"/>
      <c r="N18" s="60"/>
      <c r="O18" s="63"/>
      <c r="P18" s="63"/>
      <c r="Q18" s="63"/>
      <c r="R18" s="62" t="s">
        <v>178</v>
      </c>
      <c r="S18" s="59"/>
      <c r="T18" s="59"/>
      <c r="U18" s="59"/>
      <c r="V18" s="59"/>
      <c r="W18" s="59"/>
      <c r="X18" s="59"/>
      <c r="Y18" s="59"/>
      <c r="Z18" s="59" t="str">
        <f t="shared" si="11"/>
        <v>COLLIN 3</v>
      </c>
    </row>
    <row r="19" spans="1:26" ht="16.5" hidden="1" thickTop="1" thickBot="1" x14ac:dyDescent="0.3">
      <c r="A19" t="s">
        <v>173</v>
      </c>
      <c r="E19" s="71" t="str">
        <f t="shared" ref="E19" si="12">F19</f>
        <v>DALLAS 11</v>
      </c>
      <c r="F19" s="71" t="str">
        <f>"DALLAS 11"</f>
        <v>DALLAS 11</v>
      </c>
      <c r="H19" t="s">
        <v>74</v>
      </c>
      <c r="I19" s="58" t="s">
        <v>75</v>
      </c>
      <c r="K19" t="s">
        <v>76</v>
      </c>
      <c r="L19" t="s">
        <v>77</v>
      </c>
    </row>
    <row r="20" spans="1:26" ht="20.25" thickTop="1" thickBot="1" x14ac:dyDescent="0.35">
      <c r="A20" t="s">
        <v>174</v>
      </c>
      <c r="B20" t="str">
        <f t="shared" ref="B20" si="13">IF(R20="F4K","HIDE","SHOW")</f>
        <v>SHOW</v>
      </c>
      <c r="E20" s="71" t="str">
        <f t="shared" ref="E20" si="14">E19</f>
        <v>DALLAS 11</v>
      </c>
      <c r="F20" s="59" t="s">
        <v>1199</v>
      </c>
      <c r="G20" s="60" t="str">
        <f t="shared" ref="G20" si="15">H20</f>
        <v>002131P</v>
      </c>
      <c r="H20" s="59" t="s">
        <v>901</v>
      </c>
      <c r="I20" s="61" t="s">
        <v>1182</v>
      </c>
      <c r="J20" s="57"/>
      <c r="K20" s="62" t="s">
        <v>177</v>
      </c>
      <c r="L20" s="59" t="s">
        <v>176</v>
      </c>
      <c r="M20" s="57"/>
      <c r="N20" s="60"/>
      <c r="O20" s="63"/>
      <c r="P20" s="63"/>
      <c r="Q20" s="63"/>
      <c r="R20" s="62" t="s">
        <v>178</v>
      </c>
      <c r="S20" s="59"/>
      <c r="T20" s="59"/>
      <c r="U20" s="59"/>
      <c r="V20" s="59"/>
      <c r="W20" s="59"/>
      <c r="X20" s="59"/>
      <c r="Y20" s="59"/>
      <c r="Z20" s="59" t="str">
        <f t="shared" ref="Z20" si="16">+F20</f>
        <v>DALLAS 11</v>
      </c>
    </row>
    <row r="21" spans="1:26" ht="16.5" hidden="1" thickTop="1" thickBot="1" x14ac:dyDescent="0.3">
      <c r="A21" t="s">
        <v>173</v>
      </c>
      <c r="E21" s="71" t="str">
        <f t="shared" ref="E21" si="17">F21</f>
        <v>DALLAS 4</v>
      </c>
      <c r="F21" s="71" t="str">
        <f>"DALLAS 4"</f>
        <v>DALLAS 4</v>
      </c>
      <c r="H21" t="s">
        <v>74</v>
      </c>
      <c r="I21" s="58" t="s">
        <v>75</v>
      </c>
      <c r="K21" t="s">
        <v>76</v>
      </c>
      <c r="L21" t="s">
        <v>77</v>
      </c>
    </row>
    <row r="22" spans="1:26" ht="20.25" thickTop="1" thickBot="1" x14ac:dyDescent="0.35">
      <c r="A22" t="s">
        <v>174</v>
      </c>
      <c r="B22" t="str">
        <f t="shared" ref="B22" si="18">IF(R22="F4K","HIDE","SHOW")</f>
        <v>SHOW</v>
      </c>
      <c r="E22" s="71" t="str">
        <f t="shared" ref="E22" si="19">E21</f>
        <v>DALLAS 4</v>
      </c>
      <c r="F22" s="59" t="s">
        <v>1200</v>
      </c>
      <c r="G22" s="60" t="str">
        <f t="shared" ref="G22" si="20">H22</f>
        <v>002218P</v>
      </c>
      <c r="H22" s="59" t="s">
        <v>902</v>
      </c>
      <c r="I22" s="61" t="s">
        <v>1183</v>
      </c>
      <c r="J22" s="57"/>
      <c r="K22" s="62" t="s">
        <v>177</v>
      </c>
      <c r="L22" s="59" t="s">
        <v>176</v>
      </c>
      <c r="M22" s="57"/>
      <c r="N22" s="60"/>
      <c r="O22" s="63"/>
      <c r="P22" s="63"/>
      <c r="Q22" s="63"/>
      <c r="R22" s="62" t="s">
        <v>178</v>
      </c>
      <c r="S22" s="59"/>
      <c r="T22" s="59"/>
      <c r="U22" s="59"/>
      <c r="V22" s="59"/>
      <c r="W22" s="59"/>
      <c r="X22" s="59"/>
      <c r="Y22" s="59"/>
      <c r="Z22" s="59" t="str">
        <f t="shared" ref="Z22" si="21">+F22</f>
        <v>DALLAS 4</v>
      </c>
    </row>
    <row r="23" spans="1:26" ht="16.5" hidden="1" thickTop="1" thickBot="1" x14ac:dyDescent="0.3">
      <c r="A23" t="s">
        <v>173</v>
      </c>
      <c r="E23" s="71" t="str">
        <f t="shared" ref="E23" si="22">F23</f>
        <v>NAVARRO 1</v>
      </c>
      <c r="F23" s="71" t="str">
        <f>"NAVARRO 1"</f>
        <v>NAVARRO 1</v>
      </c>
      <c r="H23" t="s">
        <v>74</v>
      </c>
      <c r="I23" s="58" t="s">
        <v>75</v>
      </c>
      <c r="K23" t="s">
        <v>76</v>
      </c>
      <c r="L23" t="s">
        <v>77</v>
      </c>
    </row>
    <row r="24" spans="1:26" ht="20.25" thickTop="1" thickBot="1" x14ac:dyDescent="0.35">
      <c r="A24" t="s">
        <v>174</v>
      </c>
      <c r="B24" t="str">
        <f t="shared" ref="B24" si="23">IF(R24="F4K","HIDE","SHOW")</f>
        <v>SHOW</v>
      </c>
      <c r="E24" s="71" t="str">
        <f t="shared" ref="E24" si="24">E23</f>
        <v>NAVARRO 1</v>
      </c>
      <c r="F24" s="59" t="s">
        <v>737</v>
      </c>
      <c r="G24" s="60" t="str">
        <f t="shared" ref="G24" si="25">H24</f>
        <v>002491P</v>
      </c>
      <c r="H24" s="59" t="s">
        <v>903</v>
      </c>
      <c r="I24" s="61" t="s">
        <v>730</v>
      </c>
      <c r="J24" s="57"/>
      <c r="K24" s="62" t="s">
        <v>729</v>
      </c>
      <c r="L24" s="59" t="s">
        <v>175</v>
      </c>
      <c r="M24" s="57"/>
      <c r="N24" s="60"/>
      <c r="O24" s="63"/>
      <c r="P24" s="63"/>
      <c r="Q24" s="63"/>
      <c r="R24" s="62" t="s">
        <v>178</v>
      </c>
      <c r="S24" s="59"/>
      <c r="T24" s="59"/>
      <c r="U24" s="59"/>
      <c r="V24" s="59"/>
      <c r="W24" s="59"/>
      <c r="X24" s="59"/>
      <c r="Y24" s="59"/>
      <c r="Z24" s="59" t="str">
        <f t="shared" ref="Z24" si="26">+F24</f>
        <v>NAVARRO 1</v>
      </c>
    </row>
    <row r="25" spans="1:26" ht="27.75" thickTop="1" thickBot="1" x14ac:dyDescent="0.45">
      <c r="D25" s="64" t="str">
        <f>"ORDER PREP REPORT  -  ORDERS TO SHIP ON "&amp;C8</f>
        <v xml:space="preserve">ORDER PREP REPORT  -  ORDERS TO SHIP ON </v>
      </c>
      <c r="E25" s="65"/>
      <c r="F25" s="66"/>
      <c r="G25" s="65"/>
      <c r="H25" s="67"/>
      <c r="I25" s="67"/>
      <c r="J25" s="65"/>
      <c r="K25" s="67"/>
      <c r="L25" s="67"/>
      <c r="M25" s="65"/>
      <c r="N25" s="65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8"/>
    </row>
    <row r="26" spans="1:26" ht="17.25" thickTop="1" thickBot="1" x14ac:dyDescent="0.3">
      <c r="F26" s="55" t="s">
        <v>64</v>
      </c>
      <c r="H26" s="56" t="s">
        <v>65</v>
      </c>
      <c r="I26" s="56" t="s">
        <v>66</v>
      </c>
      <c r="J26" s="57"/>
      <c r="K26" s="56" t="s">
        <v>67</v>
      </c>
      <c r="L26" s="56"/>
      <c r="M26" s="57"/>
      <c r="N26" s="56"/>
      <c r="O26" s="56"/>
      <c r="P26" s="56"/>
      <c r="Q26" s="56"/>
      <c r="R26" s="56" t="s">
        <v>68</v>
      </c>
      <c r="S26" s="56" t="s">
        <v>69</v>
      </c>
      <c r="T26" s="56" t="s">
        <v>70</v>
      </c>
      <c r="U26" s="56" t="s">
        <v>71</v>
      </c>
      <c r="V26" s="56" t="s">
        <v>72</v>
      </c>
      <c r="W26" s="56" t="s">
        <v>183</v>
      </c>
      <c r="X26" s="56" t="s">
        <v>57</v>
      </c>
      <c r="Y26" s="56" t="s">
        <v>45</v>
      </c>
      <c r="Z26" s="56" t="s">
        <v>64</v>
      </c>
    </row>
    <row r="27" spans="1:26" ht="16.5" hidden="1" thickTop="1" thickBot="1" x14ac:dyDescent="0.3">
      <c r="A27" t="s">
        <v>6</v>
      </c>
      <c r="E27" s="71" t="str">
        <f>F27</f>
        <v/>
      </c>
      <c r="F27" s="71" t="s">
        <v>179</v>
      </c>
      <c r="H27" t="s">
        <v>74</v>
      </c>
      <c r="I27" s="58" t="s">
        <v>75</v>
      </c>
      <c r="K27" t="s">
        <v>76</v>
      </c>
      <c r="L27" t="s">
        <v>77</v>
      </c>
    </row>
    <row r="28" spans="1:26" ht="20.25" thickTop="1" thickBot="1" x14ac:dyDescent="0.35">
      <c r="B28" t="str">
        <f>IF(R28="F4K","HIDE","SHOW")</f>
        <v>SHOW</v>
      </c>
      <c r="E28" s="71" t="str">
        <f>E27</f>
        <v/>
      </c>
      <c r="F28" s="59" t="s">
        <v>61</v>
      </c>
      <c r="G28" s="60" t="str">
        <f>H28</f>
        <v>026392P</v>
      </c>
      <c r="H28" s="59" t="s">
        <v>904</v>
      </c>
      <c r="I28" s="61" t="s">
        <v>731</v>
      </c>
      <c r="J28" s="57"/>
      <c r="K28" s="62" t="s">
        <v>177</v>
      </c>
      <c r="L28" s="59" t="s">
        <v>176</v>
      </c>
      <c r="M28" s="57"/>
      <c r="N28" s="60"/>
      <c r="O28" s="63"/>
      <c r="P28" s="63"/>
      <c r="Q28" s="63"/>
      <c r="R28" s="62" t="s">
        <v>178</v>
      </c>
      <c r="S28" s="59"/>
      <c r="T28" s="59"/>
      <c r="U28" s="59"/>
      <c r="V28" s="59"/>
      <c r="W28" s="59"/>
      <c r="X28" s="59"/>
      <c r="Y28" s="59"/>
      <c r="Z28" s="59" t="str">
        <f>+F28</f>
        <v>PICKUP</v>
      </c>
    </row>
    <row r="29" spans="1:26" ht="20.25" thickTop="1" thickBot="1" x14ac:dyDescent="0.35">
      <c r="A29" t="s">
        <v>174</v>
      </c>
      <c r="B29" t="str">
        <f t="shared" ref="B29:B42" si="27">IF(R29="F4K","HIDE","SHOW")</f>
        <v>SHOW</v>
      </c>
      <c r="E29" s="71" t="str">
        <f t="shared" ref="E29:E42" si="28">E28</f>
        <v/>
      </c>
      <c r="F29" s="59" t="s">
        <v>61</v>
      </c>
      <c r="G29" s="60" t="str">
        <f t="shared" ref="G29:G42" si="29">H29</f>
        <v>026056P5</v>
      </c>
      <c r="H29" s="59" t="str">
        <f>"026056P5"</f>
        <v>026056P5</v>
      </c>
      <c r="I29" s="61" t="s">
        <v>1184</v>
      </c>
      <c r="J29" s="57"/>
      <c r="K29" s="62" t="s">
        <v>177</v>
      </c>
      <c r="L29" s="59" t="s">
        <v>175</v>
      </c>
      <c r="M29" s="57"/>
      <c r="N29" s="60"/>
      <c r="O29" s="63"/>
      <c r="P29" s="63"/>
      <c r="Q29" s="63"/>
      <c r="R29" s="62" t="s">
        <v>178</v>
      </c>
      <c r="S29" s="59"/>
      <c r="T29" s="59"/>
      <c r="U29" s="59"/>
      <c r="V29" s="59"/>
      <c r="W29" s="59"/>
      <c r="X29" s="59"/>
      <c r="Y29" s="59"/>
      <c r="Z29" s="59" t="str">
        <f t="shared" ref="Z29:Z42" si="30">+F29</f>
        <v>PICKUP</v>
      </c>
    </row>
    <row r="30" spans="1:26" ht="20.25" thickTop="1" thickBot="1" x14ac:dyDescent="0.35">
      <c r="A30" t="s">
        <v>174</v>
      </c>
      <c r="B30" t="str">
        <f t="shared" si="27"/>
        <v>SHOW</v>
      </c>
      <c r="E30" s="71" t="str">
        <f t="shared" si="28"/>
        <v/>
      </c>
      <c r="F30" s="59" t="s">
        <v>61</v>
      </c>
      <c r="G30" s="60" t="str">
        <f t="shared" si="29"/>
        <v>001042RA</v>
      </c>
      <c r="H30" s="59" t="str">
        <f>"001042RA"</f>
        <v>001042RA</v>
      </c>
      <c r="I30" s="61" t="s">
        <v>1185</v>
      </c>
      <c r="J30" s="57"/>
      <c r="K30" s="62" t="s">
        <v>177</v>
      </c>
      <c r="L30" s="59" t="s">
        <v>175</v>
      </c>
      <c r="M30" s="57"/>
      <c r="N30" s="60"/>
      <c r="O30" s="63"/>
      <c r="P30" s="63"/>
      <c r="Q30" s="63"/>
      <c r="R30" s="62" t="s">
        <v>735</v>
      </c>
      <c r="S30" s="59"/>
      <c r="T30" s="59"/>
      <c r="U30" s="59"/>
      <c r="V30" s="59"/>
      <c r="W30" s="59"/>
      <c r="X30" s="59"/>
      <c r="Y30" s="59"/>
      <c r="Z30" s="59" t="str">
        <f t="shared" si="30"/>
        <v>PICKUP</v>
      </c>
    </row>
    <row r="31" spans="1:26" ht="20.25" thickTop="1" thickBot="1" x14ac:dyDescent="0.35">
      <c r="A31" t="s">
        <v>174</v>
      </c>
      <c r="B31" t="str">
        <f t="shared" si="27"/>
        <v>SHOW</v>
      </c>
      <c r="E31" s="71" t="str">
        <f t="shared" si="28"/>
        <v/>
      </c>
      <c r="F31" s="59" t="s">
        <v>61</v>
      </c>
      <c r="G31" s="60" t="str">
        <f t="shared" si="29"/>
        <v>026284P</v>
      </c>
      <c r="H31" s="59" t="str">
        <f>"026284P"</f>
        <v>026284P</v>
      </c>
      <c r="I31" s="61" t="s">
        <v>1186</v>
      </c>
      <c r="J31" s="57"/>
      <c r="K31" s="62" t="s">
        <v>177</v>
      </c>
      <c r="L31" s="59" t="s">
        <v>175</v>
      </c>
      <c r="M31" s="57"/>
      <c r="N31" s="60"/>
      <c r="O31" s="63"/>
      <c r="P31" s="63"/>
      <c r="Q31" s="63"/>
      <c r="R31" s="62" t="s">
        <v>178</v>
      </c>
      <c r="S31" s="59"/>
      <c r="T31" s="59"/>
      <c r="U31" s="59"/>
      <c r="V31" s="59"/>
      <c r="W31" s="59"/>
      <c r="X31" s="59"/>
      <c r="Y31" s="59"/>
      <c r="Z31" s="59" t="str">
        <f t="shared" si="30"/>
        <v>PICKUP</v>
      </c>
    </row>
    <row r="32" spans="1:26" ht="20.25" thickTop="1" thickBot="1" x14ac:dyDescent="0.35">
      <c r="A32" t="s">
        <v>174</v>
      </c>
      <c r="B32" t="str">
        <f t="shared" si="27"/>
        <v>SHOW</v>
      </c>
      <c r="E32" s="71" t="str">
        <f t="shared" si="28"/>
        <v/>
      </c>
      <c r="F32" s="59" t="s">
        <v>61</v>
      </c>
      <c r="G32" s="60" t="str">
        <f t="shared" si="29"/>
        <v>002051P</v>
      </c>
      <c r="H32" s="59" t="str">
        <f>"002051P"</f>
        <v>002051P</v>
      </c>
      <c r="I32" s="61" t="s">
        <v>1187</v>
      </c>
      <c r="J32" s="57"/>
      <c r="K32" s="62" t="s">
        <v>177</v>
      </c>
      <c r="L32" s="59" t="s">
        <v>175</v>
      </c>
      <c r="M32" s="57"/>
      <c r="N32" s="60"/>
      <c r="O32" s="63"/>
      <c r="P32" s="63"/>
      <c r="Q32" s="63"/>
      <c r="R32" s="62" t="s">
        <v>178</v>
      </c>
      <c r="S32" s="59"/>
      <c r="T32" s="59"/>
      <c r="U32" s="59"/>
      <c r="V32" s="59"/>
      <c r="W32" s="59"/>
      <c r="X32" s="59"/>
      <c r="Y32" s="59"/>
      <c r="Z32" s="59" t="str">
        <f t="shared" si="30"/>
        <v>PICKUP</v>
      </c>
    </row>
    <row r="33" spans="1:26" ht="20.25" thickTop="1" thickBot="1" x14ac:dyDescent="0.35">
      <c r="A33" t="s">
        <v>174</v>
      </c>
      <c r="B33" t="str">
        <f t="shared" si="27"/>
        <v>SHOW</v>
      </c>
      <c r="E33" s="71" t="str">
        <f t="shared" si="28"/>
        <v/>
      </c>
      <c r="F33" s="59" t="s">
        <v>61</v>
      </c>
      <c r="G33" s="60" t="str">
        <f t="shared" si="29"/>
        <v>003549RA</v>
      </c>
      <c r="H33" s="59" t="str">
        <f>"003549RA"</f>
        <v>003549RA</v>
      </c>
      <c r="I33" s="61" t="s">
        <v>1188</v>
      </c>
      <c r="J33" s="57"/>
      <c r="K33" s="62" t="s">
        <v>177</v>
      </c>
      <c r="L33" s="59" t="s">
        <v>1189</v>
      </c>
      <c r="M33" s="57"/>
      <c r="N33" s="60"/>
      <c r="O33" s="63"/>
      <c r="P33" s="63"/>
      <c r="Q33" s="63"/>
      <c r="R33" s="62" t="s">
        <v>736</v>
      </c>
      <c r="S33" s="59"/>
      <c r="T33" s="59"/>
      <c r="U33" s="59"/>
      <c r="V33" s="59"/>
      <c r="W33" s="59"/>
      <c r="X33" s="59"/>
      <c r="Y33" s="59"/>
      <c r="Z33" s="59" t="str">
        <f t="shared" si="30"/>
        <v>PICKUP</v>
      </c>
    </row>
    <row r="34" spans="1:26" ht="20.25" thickTop="1" thickBot="1" x14ac:dyDescent="0.35">
      <c r="A34" t="s">
        <v>174</v>
      </c>
      <c r="B34" t="str">
        <f t="shared" si="27"/>
        <v>SHOW</v>
      </c>
      <c r="E34" s="71" t="str">
        <f t="shared" si="28"/>
        <v/>
      </c>
      <c r="F34" s="59" t="s">
        <v>61</v>
      </c>
      <c r="G34" s="60" t="str">
        <f t="shared" si="29"/>
        <v>004052HSF</v>
      </c>
      <c r="H34" s="59" t="str">
        <f>"004052HSF"</f>
        <v>004052HSF</v>
      </c>
      <c r="I34" s="61" t="s">
        <v>1190</v>
      </c>
      <c r="J34" s="57"/>
      <c r="K34" s="62" t="s">
        <v>177</v>
      </c>
      <c r="L34" s="59" t="s">
        <v>175</v>
      </c>
      <c r="M34" s="57"/>
      <c r="N34" s="60"/>
      <c r="O34" s="63"/>
      <c r="P34" s="63"/>
      <c r="Q34" s="63"/>
      <c r="R34" s="62" t="s">
        <v>1197</v>
      </c>
      <c r="S34" s="59"/>
      <c r="T34" s="59"/>
      <c r="U34" s="59"/>
      <c r="V34" s="59"/>
      <c r="W34" s="59"/>
      <c r="X34" s="59"/>
      <c r="Y34" s="59"/>
      <c r="Z34" s="59" t="str">
        <f t="shared" si="30"/>
        <v>PICKUP</v>
      </c>
    </row>
    <row r="35" spans="1:26" ht="20.25" thickTop="1" thickBot="1" x14ac:dyDescent="0.35">
      <c r="A35" t="s">
        <v>174</v>
      </c>
      <c r="B35" t="str">
        <f t="shared" si="27"/>
        <v>SHOW</v>
      </c>
      <c r="E35" s="71" t="str">
        <f t="shared" si="28"/>
        <v/>
      </c>
      <c r="F35" s="59" t="s">
        <v>61</v>
      </c>
      <c r="G35" s="60" t="str">
        <f t="shared" si="29"/>
        <v>003405P</v>
      </c>
      <c r="H35" s="59" t="str">
        <f>"003405P"</f>
        <v>003405P</v>
      </c>
      <c r="I35" s="61" t="s">
        <v>1191</v>
      </c>
      <c r="J35" s="57"/>
      <c r="K35" s="62" t="s">
        <v>177</v>
      </c>
      <c r="L35" s="59" t="s">
        <v>176</v>
      </c>
      <c r="M35" s="57"/>
      <c r="N35" s="60"/>
      <c r="O35" s="63"/>
      <c r="P35" s="63"/>
      <c r="Q35" s="63"/>
      <c r="R35" s="62" t="s">
        <v>178</v>
      </c>
      <c r="S35" s="59"/>
      <c r="T35" s="59"/>
      <c r="U35" s="59"/>
      <c r="V35" s="59"/>
      <c r="W35" s="59"/>
      <c r="X35" s="59"/>
      <c r="Y35" s="59"/>
      <c r="Z35" s="59" t="str">
        <f t="shared" si="30"/>
        <v>PICKUP</v>
      </c>
    </row>
    <row r="36" spans="1:26" ht="20.25" thickTop="1" thickBot="1" x14ac:dyDescent="0.35">
      <c r="A36" t="s">
        <v>174</v>
      </c>
      <c r="B36" t="str">
        <f t="shared" si="27"/>
        <v>SHOW</v>
      </c>
      <c r="E36" s="71" t="str">
        <f t="shared" si="28"/>
        <v/>
      </c>
      <c r="F36" s="59" t="s">
        <v>61</v>
      </c>
      <c r="G36" s="60" t="str">
        <f t="shared" si="29"/>
        <v>026575P</v>
      </c>
      <c r="H36" s="59" t="str">
        <f>"026575P"</f>
        <v>026575P</v>
      </c>
      <c r="I36" s="61" t="s">
        <v>1192</v>
      </c>
      <c r="J36" s="57"/>
      <c r="K36" s="62" t="s">
        <v>177</v>
      </c>
      <c r="L36" s="59" t="s">
        <v>175</v>
      </c>
      <c r="M36" s="57"/>
      <c r="N36" s="60"/>
      <c r="O36" s="63"/>
      <c r="P36" s="63"/>
      <c r="Q36" s="63"/>
      <c r="R36" s="62" t="s">
        <v>178</v>
      </c>
      <c r="S36" s="59"/>
      <c r="T36" s="59"/>
      <c r="U36" s="59"/>
      <c r="V36" s="59"/>
      <c r="W36" s="59"/>
      <c r="X36" s="59"/>
      <c r="Y36" s="59"/>
      <c r="Z36" s="59" t="str">
        <f t="shared" si="30"/>
        <v>PICKUP</v>
      </c>
    </row>
    <row r="37" spans="1:26" ht="20.25" thickTop="1" thickBot="1" x14ac:dyDescent="0.35">
      <c r="A37" t="s">
        <v>174</v>
      </c>
      <c r="B37" t="str">
        <f t="shared" si="27"/>
        <v>SHOW</v>
      </c>
      <c r="E37" s="71" t="str">
        <f t="shared" si="28"/>
        <v/>
      </c>
      <c r="F37" s="59" t="s">
        <v>61</v>
      </c>
      <c r="G37" s="60" t="str">
        <f t="shared" si="29"/>
        <v>002098P</v>
      </c>
      <c r="H37" s="59" t="str">
        <f>"002098P"</f>
        <v>002098P</v>
      </c>
      <c r="I37" s="61" t="s">
        <v>1193</v>
      </c>
      <c r="J37" s="57"/>
      <c r="K37" s="62" t="s">
        <v>177</v>
      </c>
      <c r="L37" s="59" t="s">
        <v>175</v>
      </c>
      <c r="M37" s="57"/>
      <c r="N37" s="60"/>
      <c r="O37" s="63"/>
      <c r="P37" s="63"/>
      <c r="Q37" s="63"/>
      <c r="R37" s="62" t="s">
        <v>178</v>
      </c>
      <c r="S37" s="59"/>
      <c r="T37" s="59"/>
      <c r="U37" s="59"/>
      <c r="V37" s="59"/>
      <c r="W37" s="59"/>
      <c r="X37" s="59"/>
      <c r="Y37" s="59"/>
      <c r="Z37" s="59" t="str">
        <f t="shared" si="30"/>
        <v>PICKUP</v>
      </c>
    </row>
    <row r="38" spans="1:26" ht="20.25" thickTop="1" thickBot="1" x14ac:dyDescent="0.35">
      <c r="A38" t="s">
        <v>174</v>
      </c>
      <c r="B38" t="str">
        <f t="shared" si="27"/>
        <v>SHOW</v>
      </c>
      <c r="E38" s="71" t="str">
        <f t="shared" si="28"/>
        <v/>
      </c>
      <c r="F38" s="59" t="s">
        <v>61</v>
      </c>
      <c r="G38" s="60" t="str">
        <f t="shared" si="29"/>
        <v>026066RA1</v>
      </c>
      <c r="H38" s="59" t="str">
        <f>"026066RA1"</f>
        <v>026066RA1</v>
      </c>
      <c r="I38" s="61" t="s">
        <v>732</v>
      </c>
      <c r="J38" s="57"/>
      <c r="K38" s="62" t="s">
        <v>177</v>
      </c>
      <c r="L38" s="59" t="s">
        <v>175</v>
      </c>
      <c r="M38" s="57"/>
      <c r="N38" s="60"/>
      <c r="O38" s="63"/>
      <c r="P38" s="63"/>
      <c r="Q38" s="63"/>
      <c r="R38" s="62" t="s">
        <v>736</v>
      </c>
      <c r="S38" s="59"/>
      <c r="T38" s="59"/>
      <c r="U38" s="59"/>
      <c r="V38" s="59"/>
      <c r="W38" s="59"/>
      <c r="X38" s="59"/>
      <c r="Y38" s="59"/>
      <c r="Z38" s="59" t="str">
        <f t="shared" si="30"/>
        <v>PICKUP</v>
      </c>
    </row>
    <row r="39" spans="1:26" ht="20.25" thickTop="1" thickBot="1" x14ac:dyDescent="0.35">
      <c r="A39" t="s">
        <v>174</v>
      </c>
      <c r="B39" t="str">
        <f t="shared" si="27"/>
        <v>SHOW</v>
      </c>
      <c r="E39" s="71" t="str">
        <f t="shared" si="28"/>
        <v/>
      </c>
      <c r="F39" s="59" t="s">
        <v>61</v>
      </c>
      <c r="G39" s="60" t="str">
        <f t="shared" si="29"/>
        <v>013600CSFP</v>
      </c>
      <c r="H39" s="59" t="str">
        <f>"013600CSFP"</f>
        <v>013600CSFP</v>
      </c>
      <c r="I39" s="61" t="s">
        <v>726</v>
      </c>
      <c r="J39" s="57"/>
      <c r="K39" s="62" t="s">
        <v>177</v>
      </c>
      <c r="L39" s="59" t="s">
        <v>175</v>
      </c>
      <c r="M39" s="57"/>
      <c r="N39" s="60"/>
      <c r="O39" s="63"/>
      <c r="P39" s="63"/>
      <c r="Q39" s="63"/>
      <c r="R39" s="62" t="s">
        <v>734</v>
      </c>
      <c r="S39" s="59"/>
      <c r="T39" s="59"/>
      <c r="U39" s="59"/>
      <c r="V39" s="59"/>
      <c r="W39" s="59"/>
      <c r="X39" s="59"/>
      <c r="Y39" s="59"/>
      <c r="Z39" s="59" t="str">
        <f t="shared" si="30"/>
        <v>PICKUP</v>
      </c>
    </row>
    <row r="40" spans="1:26" ht="20.25" thickTop="1" thickBot="1" x14ac:dyDescent="0.35">
      <c r="A40" t="s">
        <v>174</v>
      </c>
      <c r="B40" t="str">
        <f t="shared" si="27"/>
        <v>SHOW</v>
      </c>
      <c r="E40" s="71" t="str">
        <f t="shared" si="28"/>
        <v/>
      </c>
      <c r="F40" s="59" t="s">
        <v>61</v>
      </c>
      <c r="G40" s="60" t="str">
        <f t="shared" si="29"/>
        <v>002052P</v>
      </c>
      <c r="H40" s="59" t="str">
        <f>"002052P"</f>
        <v>002052P</v>
      </c>
      <c r="I40" s="61" t="s">
        <v>1194</v>
      </c>
      <c r="J40" s="57"/>
      <c r="K40" s="62" t="s">
        <v>177</v>
      </c>
      <c r="L40" s="59" t="s">
        <v>175</v>
      </c>
      <c r="M40" s="57"/>
      <c r="N40" s="60"/>
      <c r="O40" s="63"/>
      <c r="P40" s="63"/>
      <c r="Q40" s="63"/>
      <c r="R40" s="62" t="s">
        <v>178</v>
      </c>
      <c r="S40" s="59"/>
      <c r="T40" s="59"/>
      <c r="U40" s="59"/>
      <c r="V40" s="59"/>
      <c r="W40" s="59"/>
      <c r="X40" s="59"/>
      <c r="Y40" s="59"/>
      <c r="Z40" s="59" t="str">
        <f t="shared" si="30"/>
        <v>PICKUP</v>
      </c>
    </row>
    <row r="41" spans="1:26" ht="20.25" thickTop="1" thickBot="1" x14ac:dyDescent="0.35">
      <c r="A41" t="s">
        <v>174</v>
      </c>
      <c r="B41" t="str">
        <f t="shared" si="27"/>
        <v>SHOW</v>
      </c>
      <c r="E41" s="71" t="str">
        <f t="shared" si="28"/>
        <v/>
      </c>
      <c r="F41" s="59" t="s">
        <v>61</v>
      </c>
      <c r="G41" s="60" t="str">
        <f t="shared" si="29"/>
        <v>026536RA</v>
      </c>
      <c r="H41" s="59" t="str">
        <f>"026536RA"</f>
        <v>026536RA</v>
      </c>
      <c r="I41" s="61" t="s">
        <v>1195</v>
      </c>
      <c r="J41" s="57"/>
      <c r="K41" s="62" t="s">
        <v>177</v>
      </c>
      <c r="L41" s="59" t="s">
        <v>176</v>
      </c>
      <c r="M41" s="57"/>
      <c r="N41" s="60"/>
      <c r="O41" s="63"/>
      <c r="P41" s="63"/>
      <c r="Q41" s="63"/>
      <c r="R41" s="62" t="s">
        <v>736</v>
      </c>
      <c r="S41" s="59"/>
      <c r="T41" s="59"/>
      <c r="U41" s="59"/>
      <c r="V41" s="59"/>
      <c r="W41" s="59"/>
      <c r="X41" s="59"/>
      <c r="Y41" s="59"/>
      <c r="Z41" s="59" t="str">
        <f t="shared" si="30"/>
        <v>PICKUP</v>
      </c>
    </row>
    <row r="42" spans="1:26" ht="20.25" thickTop="1" thickBot="1" x14ac:dyDescent="0.35">
      <c r="A42" t="s">
        <v>174</v>
      </c>
      <c r="B42" t="str">
        <f t="shared" si="27"/>
        <v>SHOW</v>
      </c>
      <c r="E42" s="71" t="str">
        <f t="shared" si="28"/>
        <v/>
      </c>
      <c r="F42" s="59" t="s">
        <v>61</v>
      </c>
      <c r="G42" s="60" t="str">
        <f t="shared" si="29"/>
        <v>002341P</v>
      </c>
      <c r="H42" s="59" t="str">
        <f>"002341P"</f>
        <v>002341P</v>
      </c>
      <c r="I42" s="61" t="s">
        <v>1196</v>
      </c>
      <c r="J42" s="57"/>
      <c r="K42" s="62" t="s">
        <v>177</v>
      </c>
      <c r="L42" s="59" t="s">
        <v>285</v>
      </c>
      <c r="M42" s="57"/>
      <c r="N42" s="60"/>
      <c r="O42" s="63"/>
      <c r="P42" s="63"/>
      <c r="Q42" s="63"/>
      <c r="R42" s="62" t="s">
        <v>178</v>
      </c>
      <c r="S42" s="59"/>
      <c r="T42" s="59"/>
      <c r="U42" s="59"/>
      <c r="V42" s="59"/>
      <c r="W42" s="59"/>
      <c r="X42" s="59"/>
      <c r="Y42" s="59"/>
      <c r="Z42" s="59" t="str">
        <f t="shared" si="30"/>
        <v>PICKUP</v>
      </c>
    </row>
    <row r="43" spans="1:26" ht="15.75" thickTop="1" x14ac:dyDescent="0.25"/>
  </sheetData>
  <pageMargins left="0.25" right="0.25" top="0" bottom="0" header="0.3" footer="0.3"/>
  <pageSetup scale="96" fitToHeight="0" orientation="landscape" r:id="rId1"/>
  <rowBreaks count="1" manualBreakCount="1">
    <brk id="24" min="3" max="2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1613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/>
      </c>
      <c r="C2" s="74" t="s">
        <v>7</v>
      </c>
      <c r="D2" s="181" t="str">
        <f>IF(E26="",F5&amp;"  ("&amp;F4&amp;") - NO "&amp;C25,F5&amp;"  ("&amp;F4&amp;") - "&amp;C25&amp;" PICK LIST")</f>
        <v>HOMEWARD BOUND TRINITY CENTER  (026066RA1)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"026066RA1"</f>
        <v>026066RA1</v>
      </c>
      <c r="E4" s="101" t="s">
        <v>37</v>
      </c>
      <c r="F4" s="105" t="str">
        <f>C4</f>
        <v>026066RA1</v>
      </c>
      <c r="K4" s="101" t="s">
        <v>42</v>
      </c>
      <c r="L4" s="104"/>
      <c r="M4" s="111">
        <f>SUM(I26:I29)</f>
        <v>18</v>
      </c>
    </row>
    <row r="5" spans="1:26" ht="18" customHeight="1" x14ac:dyDescent="0.25">
      <c r="B5" s="76" t="str">
        <f t="shared" si="0"/>
        <v>Show</v>
      </c>
      <c r="C5" s="109" t="s">
        <v>1396</v>
      </c>
      <c r="E5" s="101" t="s">
        <v>36</v>
      </c>
      <c r="F5" s="112" t="s">
        <v>732</v>
      </c>
      <c r="K5" s="101" t="s">
        <v>43</v>
      </c>
      <c r="L5" s="104"/>
      <c r="M5" s="111">
        <f>ROUND(SUM(O26:O29),0)</f>
        <v>456</v>
      </c>
    </row>
    <row r="6" spans="1:26" ht="18" customHeight="1" x14ac:dyDescent="0.25">
      <c r="B6" s="76" t="str">
        <f t="shared" si="0"/>
        <v>Show</v>
      </c>
      <c r="C6" s="109" t="s">
        <v>1397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ROUND(COUNT(O26:O29),0)</f>
        <v>3</v>
      </c>
      <c r="P6" s="101"/>
      <c r="W6" s="101" t="str">
        <f>"ESTIMATED "&amp;O25&amp;"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E16</f>
        <v>A108374|A108374|A108374|A108374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F16</f>
        <v>ITPN-207488|ITPN-207489|ITPN-207491|ITPN-207488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B15</f>
        <v>Show</v>
      </c>
      <c r="C12" s="74" t="s">
        <v>1398</v>
      </c>
      <c r="E12" s="74" t="s">
        <v>1387</v>
      </c>
      <c r="F12" s="74" t="s">
        <v>1391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4" si="1">B16</f>
        <v>Show</v>
      </c>
      <c r="C13" s="74" t="str">
        <f>"""Ceres NTFB Live"",""NTFB Live"",""5766"",""1"",""Invt. Pick"",""2"",""ITPN-207489"""</f>
        <v>"Ceres NTFB Live","NTFB Live","5766","1","Invt. Pick","2","ITPN-207489"</v>
      </c>
      <c r="E13" s="74" t="s">
        <v>1387</v>
      </c>
      <c r="F13" s="74" t="s">
        <v>1392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Pick"",""2"",""ITPN-207491"""</f>
        <v>"Ceres NTFB Live","NTFB Live","5766","1","Invt. Pick","2","ITPN-207491"</v>
      </c>
      <c r="E14" s="74" t="s">
        <v>1387</v>
      </c>
      <c r="F14" s="74" t="s">
        <v>1393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ref="B15:B25" si="2">B16</f>
        <v>Show</v>
      </c>
      <c r="C15" s="74" t="s">
        <v>1387</v>
      </c>
      <c r="E15" s="74" t="str">
        <f>E12</f>
        <v>A108374</v>
      </c>
      <c r="F15" s="74" t="str">
        <f>F12</f>
        <v>ITPN-207488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6</v>
      </c>
      <c r="B16" s="76" t="str">
        <f t="shared" si="2"/>
        <v>Show</v>
      </c>
      <c r="E16" s="92" t="s">
        <v>1394</v>
      </c>
      <c r="F16" s="92" t="s">
        <v>1395</v>
      </c>
      <c r="I16" s="98"/>
      <c r="J16" s="98"/>
      <c r="K16" s="98"/>
      <c r="L16" s="98"/>
      <c r="M16" s="98"/>
    </row>
    <row r="17" spans="1:17" x14ac:dyDescent="0.25">
      <c r="B17" s="76" t="str">
        <f t="shared" si="2"/>
        <v>Show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x14ac:dyDescent="0.25">
      <c r="B18" s="76" t="str">
        <f t="shared" si="2"/>
        <v>Show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thickBot="1" x14ac:dyDescent="0.3">
      <c r="B19" s="76" t="str">
        <f t="shared" si="2"/>
        <v>Show</v>
      </c>
      <c r="F19" s="190"/>
      <c r="G19" s="191"/>
      <c r="H19" s="191"/>
      <c r="I19" s="191"/>
      <c r="J19" s="191"/>
      <c r="K19" s="191"/>
      <c r="L19" s="191"/>
      <c r="M19" s="192"/>
    </row>
    <row r="20" spans="1:17" x14ac:dyDescent="0.25">
      <c r="B20" s="76" t="str">
        <f t="shared" si="2"/>
        <v>Show</v>
      </c>
    </row>
    <row r="21" spans="1:17" x14ac:dyDescent="0.25">
      <c r="B21" s="76" t="str">
        <f t="shared" si="2"/>
        <v>Show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x14ac:dyDescent="0.25">
      <c r="B22" s="76" t="str">
        <f t="shared" si="2"/>
        <v>Show</v>
      </c>
      <c r="E22" s="101"/>
    </row>
    <row r="23" spans="1:17" x14ac:dyDescent="0.25">
      <c r="B23" s="76" t="str">
        <f t="shared" si="2"/>
        <v>Show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x14ac:dyDescent="0.25">
      <c r="B24" s="76" t="str">
        <f t="shared" si="2"/>
        <v>Show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customHeight="1" x14ac:dyDescent="0.25">
      <c r="A25" s="97"/>
      <c r="B25" s="76" t="str">
        <f t="shared" si="2"/>
        <v>Show</v>
      </c>
      <c r="C25" s="96" t="s">
        <v>79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customHeight="1" x14ac:dyDescent="0.25">
      <c r="B26" s="92" t="str">
        <f>IF(I26="","Hide","Show")</f>
        <v>Show</v>
      </c>
      <c r="C26" s="74" t="s">
        <v>1399</v>
      </c>
      <c r="D26" s="89" t="s">
        <v>1336</v>
      </c>
      <c r="E26" s="89" t="s">
        <v>1337</v>
      </c>
      <c r="F26" s="89" t="s">
        <v>749</v>
      </c>
      <c r="G26" s="91" t="s">
        <v>1388</v>
      </c>
      <c r="H26" s="90" t="s">
        <v>750</v>
      </c>
      <c r="I26" s="89">
        <v>6</v>
      </c>
      <c r="J26" s="89" t="s">
        <v>286</v>
      </c>
      <c r="K26" s="88"/>
      <c r="L26" s="87"/>
      <c r="M26" s="87"/>
      <c r="N26" s="85" t="s">
        <v>179</v>
      </c>
      <c r="O26" s="85">
        <v>132</v>
      </c>
      <c r="P26" s="85" t="s">
        <v>183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ref="B27:B28" si="3">IF(I27="","Hide","Show")</f>
        <v>Show</v>
      </c>
      <c r="C27" s="74" t="str">
        <f>"""Ceres NTFB Live"",""NTFB Live"",""5767"",""1"",""Invt. Pick"",""2"",""ITPN-207489"",""3"",""31000"""</f>
        <v>"Ceres NTFB Live","NTFB Live","5767","1","Invt. Pick","2","ITPN-207489","3","31000"</v>
      </c>
      <c r="D27" s="89" t="s">
        <v>1339</v>
      </c>
      <c r="E27" s="89" t="s">
        <v>1340</v>
      </c>
      <c r="F27" s="89" t="s">
        <v>1287</v>
      </c>
      <c r="G27" s="91" t="s">
        <v>1389</v>
      </c>
      <c r="H27" s="90" t="s">
        <v>1288</v>
      </c>
      <c r="I27" s="89">
        <v>6</v>
      </c>
      <c r="J27" s="89" t="s">
        <v>286</v>
      </c>
      <c r="K27" s="88"/>
      <c r="L27" s="87"/>
      <c r="M27" s="87"/>
      <c r="N27" s="85" t="s">
        <v>179</v>
      </c>
      <c r="O27" s="85">
        <v>168</v>
      </c>
      <c r="P27" s="85" t="s">
        <v>742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3"/>
        <v>Show</v>
      </c>
      <c r="C28" s="74" t="str">
        <f>"""Ceres NTFB Live"",""NTFB Live"",""5767"",""1"",""Invt. Pick"",""2"",""ITPN-207489"",""3"",""60000"""</f>
        <v>"Ceres NTFB Live","NTFB Live","5767","1","Invt. Pick","2","ITPN-207489","3","60000"</v>
      </c>
      <c r="D28" s="89" t="s">
        <v>748</v>
      </c>
      <c r="E28" s="89" t="s">
        <v>1390</v>
      </c>
      <c r="F28" s="89" t="s">
        <v>1344</v>
      </c>
      <c r="G28" s="91" t="s">
        <v>1389</v>
      </c>
      <c r="H28" s="90" t="s">
        <v>1345</v>
      </c>
      <c r="I28" s="89">
        <v>6</v>
      </c>
      <c r="J28" s="89" t="s">
        <v>286</v>
      </c>
      <c r="K28" s="88"/>
      <c r="L28" s="87"/>
      <c r="M28" s="87"/>
      <c r="N28" s="85" t="s">
        <v>179</v>
      </c>
      <c r="O28" s="85">
        <v>156</v>
      </c>
      <c r="P28" s="85" t="s">
        <v>742</v>
      </c>
      <c r="Q28" s="86" t="s">
        <v>56</v>
      </c>
    </row>
    <row r="29" spans="1:17" ht="15.75" thickBot="1" x14ac:dyDescent="0.3">
      <c r="B29" s="74" t="str">
        <f>B26</f>
        <v>Show</v>
      </c>
      <c r="H29" s="85"/>
      <c r="I29" s="85"/>
    </row>
    <row r="30" spans="1:17" ht="15.75" thickBot="1" x14ac:dyDescent="0.3">
      <c r="B30" s="74" t="str">
        <f>+B29</f>
        <v>Show</v>
      </c>
      <c r="D30" s="193" t="str">
        <f>+"END OF "&amp;D2</f>
        <v>END OF HOMEWARD BOUND TRINITY CENTER  (026066RA1) - DRY|DRYUSDA|MCTF PICK LIST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PICKUP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026066RA1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HOMEWARD BOUND TRINITY CENTER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1387</v>
      </c>
      <c r="G36" s="174"/>
      <c r="H36" s="174"/>
      <c r="I36" s="174"/>
      <c r="J36" s="174"/>
      <c r="K36" s="174"/>
      <c r="L36" s="174"/>
      <c r="M36" s="175"/>
    </row>
    <row r="37" spans="1:16" ht="15.75" hidden="1" customHeight="1" thickBot="1" x14ac:dyDescent="0.3">
      <c r="A37" s="76" t="s">
        <v>19</v>
      </c>
      <c r="D37" s="80"/>
      <c r="E37" s="78"/>
      <c r="F37" s="78"/>
      <c r="G37" s="79"/>
      <c r="H37" s="78"/>
      <c r="I37" s="78"/>
      <c r="J37" s="78"/>
      <c r="K37" s="78"/>
      <c r="L37" s="78"/>
      <c r="M37" s="77"/>
    </row>
    <row r="38" spans="1:16" ht="36.75" x14ac:dyDescent="0.45">
      <c r="A38" s="76" t="s">
        <v>30</v>
      </c>
      <c r="D38" s="176" t="s">
        <v>50</v>
      </c>
      <c r="E38" s="177"/>
      <c r="F38" s="178">
        <f>+F7</f>
        <v>42612</v>
      </c>
      <c r="G38" s="179"/>
      <c r="H38" s="179"/>
      <c r="I38" s="179"/>
      <c r="J38" s="179"/>
      <c r="K38" s="179"/>
      <c r="L38" s="179"/>
      <c r="M38" s="180"/>
    </row>
    <row r="39" spans="1:16" ht="37.5" thickBot="1" x14ac:dyDescent="0.5">
      <c r="A39" s="76" t="s">
        <v>30</v>
      </c>
      <c r="D39" s="158" t="s">
        <v>32</v>
      </c>
      <c r="E39" s="159"/>
      <c r="F39" s="160"/>
      <c r="G39" s="161"/>
      <c r="H39" s="161"/>
      <c r="I39" s="161"/>
      <c r="J39" s="161"/>
      <c r="K39" s="161"/>
      <c r="L39" s="161"/>
      <c r="M39" s="162"/>
    </row>
    <row r="40" spans="1:16" ht="80.099999999999994" customHeight="1" thickBot="1" x14ac:dyDescent="0.3">
      <c r="A40" s="76" t="s">
        <v>30</v>
      </c>
      <c r="D40" s="163" t="s">
        <v>51</v>
      </c>
      <c r="E40" s="164"/>
      <c r="F40" s="164"/>
      <c r="G40" s="164"/>
      <c r="H40" s="164"/>
      <c r="I40" s="164"/>
      <c r="J40" s="164"/>
      <c r="K40" s="164"/>
      <c r="L40" s="164"/>
      <c r="M40" s="165"/>
    </row>
    <row r="41" spans="1:16" ht="90" customHeight="1" thickBot="1" x14ac:dyDescent="0.3">
      <c r="A41" s="76" t="s">
        <v>30</v>
      </c>
      <c r="D41" s="166" t="str">
        <f>IF(F6="DELIVER",G6,F6)</f>
        <v>PICKUP</v>
      </c>
      <c r="E41" s="167"/>
      <c r="F41" s="167"/>
      <c r="G41" s="167"/>
      <c r="H41" s="167"/>
      <c r="I41" s="167"/>
      <c r="J41" s="167"/>
      <c r="K41" s="167"/>
      <c r="L41" s="167"/>
      <c r="M41" s="168"/>
    </row>
    <row r="42" spans="1:16" ht="60" customHeight="1" thickBot="1" x14ac:dyDescent="0.3">
      <c r="A42" s="76" t="s">
        <v>30</v>
      </c>
      <c r="D42" s="169" t="s">
        <v>55</v>
      </c>
      <c r="E42" s="170"/>
      <c r="F42" s="170"/>
      <c r="G42" s="170"/>
      <c r="H42" s="170"/>
      <c r="I42" s="170"/>
      <c r="J42" s="170"/>
      <c r="K42" s="170"/>
      <c r="L42" s="170"/>
      <c r="M42" s="171"/>
    </row>
  </sheetData>
  <mergeCells count="17">
    <mergeCell ref="D2:M2"/>
    <mergeCell ref="F17:M19"/>
    <mergeCell ref="D30:M30"/>
    <mergeCell ref="D32:M32"/>
    <mergeCell ref="D33:E33"/>
    <mergeCell ref="F33:M33"/>
    <mergeCell ref="D34:E34"/>
    <mergeCell ref="F34:M34"/>
    <mergeCell ref="D35:E35"/>
    <mergeCell ref="F36:M36"/>
    <mergeCell ref="D38:E38"/>
    <mergeCell ref="F38:M38"/>
    <mergeCell ref="D39:E39"/>
    <mergeCell ref="F39:M39"/>
    <mergeCell ref="D40:M40"/>
    <mergeCell ref="D41:M41"/>
    <mergeCell ref="D42:M42"/>
  </mergeCells>
  <conditionalFormatting sqref="F6">
    <cfRule type="cellIs" dxfId="399" priority="5" operator="equal">
      <formula>"DELIVER"</formula>
    </cfRule>
  </conditionalFormatting>
  <conditionalFormatting sqref="D32">
    <cfRule type="cellIs" dxfId="398" priority="4" operator="equal">
      <formula>"DELIVER"</formula>
    </cfRule>
  </conditionalFormatting>
  <conditionalFormatting sqref="D2:M2">
    <cfRule type="expression" dxfId="397" priority="3">
      <formula>$F$6="DELIVER"</formula>
    </cfRule>
  </conditionalFormatting>
  <conditionalFormatting sqref="G6">
    <cfRule type="expression" dxfId="396" priority="2">
      <formula>$F$6="DELIVER"</formula>
    </cfRule>
  </conditionalFormatting>
  <conditionalFormatting sqref="D41">
    <cfRule type="expression" dxfId="39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1773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1046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59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/>
  </sheetViews>
  <sheetFormatPr defaultRowHeight="15" x14ac:dyDescent="0.25"/>
  <sheetData>
    <row r="1" spans="1:26" x14ac:dyDescent="0.25">
      <c r="A1" s="72" t="s">
        <v>1775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111</v>
      </c>
      <c r="C2" s="72" t="s">
        <v>7</v>
      </c>
      <c r="D2" s="72" t="s">
        <v>112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833</v>
      </c>
      <c r="E4" s="72" t="s">
        <v>37</v>
      </c>
      <c r="F4" s="72" t="s">
        <v>116</v>
      </c>
      <c r="K4" s="72" t="s">
        <v>42</v>
      </c>
      <c r="M4" s="72" t="s">
        <v>117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120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125</v>
      </c>
      <c r="W6" s="72" t="s">
        <v>126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99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96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133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6</v>
      </c>
      <c r="B13" s="72" t="s">
        <v>137</v>
      </c>
      <c r="C13" s="72" t="s">
        <v>135</v>
      </c>
      <c r="E13" s="72" t="s">
        <v>138</v>
      </c>
      <c r="F13" s="72" t="s">
        <v>139</v>
      </c>
    </row>
    <row r="14" spans="1:26" x14ac:dyDescent="0.25">
      <c r="A14" s="72" t="s">
        <v>6</v>
      </c>
      <c r="B14" s="72" t="s">
        <v>140</v>
      </c>
      <c r="E14" s="72" t="s">
        <v>141</v>
      </c>
      <c r="F14" s="72" t="s">
        <v>142</v>
      </c>
    </row>
    <row r="15" spans="1:26" x14ac:dyDescent="0.25">
      <c r="B15" s="72" t="s">
        <v>143</v>
      </c>
      <c r="E15" s="72" t="s">
        <v>20</v>
      </c>
      <c r="F15" s="72" t="s">
        <v>144</v>
      </c>
    </row>
    <row r="16" spans="1:26" x14ac:dyDescent="0.25">
      <c r="B16" s="72" t="s">
        <v>145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  <c r="E19" s="72" t="s">
        <v>33</v>
      </c>
      <c r="H19" s="72" t="s">
        <v>53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32</v>
      </c>
      <c r="H21" s="72" t="s">
        <v>54</v>
      </c>
    </row>
    <row r="22" spans="1:17" x14ac:dyDescent="0.25">
      <c r="B22" s="72" t="s">
        <v>151</v>
      </c>
      <c r="C22" s="72" t="s">
        <v>52</v>
      </c>
      <c r="D22" s="72" t="s">
        <v>52</v>
      </c>
    </row>
    <row r="23" spans="1:17" x14ac:dyDescent="0.25">
      <c r="B23" s="72" t="s">
        <v>152</v>
      </c>
      <c r="C23" s="72" t="s">
        <v>59</v>
      </c>
      <c r="D23" s="72" t="s">
        <v>28</v>
      </c>
      <c r="E23" s="72" t="s">
        <v>26</v>
      </c>
      <c r="F23" s="72" t="s">
        <v>29</v>
      </c>
      <c r="G23" s="72" t="s">
        <v>57</v>
      </c>
      <c r="H23" s="72" t="s">
        <v>27</v>
      </c>
      <c r="I23" s="72" t="s">
        <v>25</v>
      </c>
      <c r="J23" s="72" t="s">
        <v>10</v>
      </c>
      <c r="K23" s="72" t="s">
        <v>24</v>
      </c>
      <c r="M23" s="72" t="s">
        <v>31</v>
      </c>
      <c r="N23" s="72" t="s">
        <v>21</v>
      </c>
      <c r="O23" s="72" t="s">
        <v>22</v>
      </c>
      <c r="P23" s="72" t="s">
        <v>23</v>
      </c>
    </row>
    <row r="24" spans="1:17" ht="105" x14ac:dyDescent="0.25">
      <c r="B24" s="72" t="s">
        <v>153</v>
      </c>
      <c r="C24" s="72" t="s">
        <v>154</v>
      </c>
      <c r="D24" s="72" t="s">
        <v>155</v>
      </c>
      <c r="E24" s="72" t="s">
        <v>156</v>
      </c>
      <c r="F24" s="72" t="s">
        <v>157</v>
      </c>
      <c r="G24" s="73" t="s">
        <v>158</v>
      </c>
      <c r="H24" s="72" t="s">
        <v>159</v>
      </c>
      <c r="I24" s="72" t="s">
        <v>160</v>
      </c>
      <c r="J24" s="72" t="s">
        <v>161</v>
      </c>
      <c r="N24" s="72" t="s">
        <v>162</v>
      </c>
      <c r="O24" s="72" t="s">
        <v>163</v>
      </c>
      <c r="P24" s="72" t="s">
        <v>164</v>
      </c>
      <c r="Q24" s="73" t="s">
        <v>56</v>
      </c>
    </row>
    <row r="25" spans="1:17" x14ac:dyDescent="0.25">
      <c r="B25" s="72" t="s">
        <v>152</v>
      </c>
    </row>
    <row r="26" spans="1:17" x14ac:dyDescent="0.25">
      <c r="B26" s="72" t="s">
        <v>165</v>
      </c>
      <c r="D26" s="72" t="s">
        <v>166</v>
      </c>
    </row>
    <row r="28" spans="1:17" x14ac:dyDescent="0.25">
      <c r="A28" s="72" t="s">
        <v>30</v>
      </c>
      <c r="D28" s="72" t="s">
        <v>167</v>
      </c>
    </row>
    <row r="29" spans="1:17" x14ac:dyDescent="0.25">
      <c r="A29" s="72" t="s">
        <v>30</v>
      </c>
      <c r="D29" s="72" t="s">
        <v>12</v>
      </c>
      <c r="F29" s="72" t="s">
        <v>168</v>
      </c>
    </row>
    <row r="30" spans="1:17" x14ac:dyDescent="0.25">
      <c r="A30" s="72" t="s">
        <v>30</v>
      </c>
      <c r="D30" s="72" t="s">
        <v>5</v>
      </c>
      <c r="F30" s="72" t="s">
        <v>169</v>
      </c>
    </row>
    <row r="31" spans="1:17" x14ac:dyDescent="0.25">
      <c r="A31" s="72" t="s">
        <v>19</v>
      </c>
      <c r="D31" s="72" t="s">
        <v>49</v>
      </c>
    </row>
    <row r="32" spans="1:17" x14ac:dyDescent="0.25">
      <c r="A32" s="72" t="s">
        <v>19</v>
      </c>
      <c r="F32" s="72" t="s">
        <v>170</v>
      </c>
    </row>
    <row r="33" spans="1:6" x14ac:dyDescent="0.25">
      <c r="A33" s="72" t="s">
        <v>19</v>
      </c>
    </row>
    <row r="34" spans="1:6" x14ac:dyDescent="0.25">
      <c r="A34" s="72" t="s">
        <v>30</v>
      </c>
      <c r="D34" s="72" t="s">
        <v>50</v>
      </c>
      <c r="F34" s="72" t="s">
        <v>171</v>
      </c>
    </row>
    <row r="35" spans="1:6" x14ac:dyDescent="0.25">
      <c r="A35" s="72" t="s">
        <v>30</v>
      </c>
      <c r="D35" s="72" t="s">
        <v>32</v>
      </c>
    </row>
    <row r="36" spans="1:6" x14ac:dyDescent="0.25">
      <c r="A36" s="72" t="s">
        <v>30</v>
      </c>
      <c r="D36" s="72" t="s">
        <v>51</v>
      </c>
    </row>
    <row r="37" spans="1:6" x14ac:dyDescent="0.25">
      <c r="A37" s="72" t="s">
        <v>30</v>
      </c>
      <c r="D37" s="72" t="s">
        <v>172</v>
      </c>
    </row>
    <row r="38" spans="1:6" x14ac:dyDescent="0.25">
      <c r="A38" s="72" t="s">
        <v>30</v>
      </c>
      <c r="D38" s="72" t="s">
        <v>55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1777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518</v>
      </c>
      <c r="E4" s="72" t="s">
        <v>37</v>
      </c>
      <c r="F4" s="72" t="s">
        <v>116</v>
      </c>
      <c r="K4" s="72" t="s">
        <v>42</v>
      </c>
      <c r="M4" s="72" t="s">
        <v>382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383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384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1066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1067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59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x14ac:dyDescent="0.25">
      <c r="B27" s="72" t="s">
        <v>225</v>
      </c>
    </row>
    <row r="28" spans="1:17" x14ac:dyDescent="0.25">
      <c r="B28" s="72" t="s">
        <v>385</v>
      </c>
      <c r="D28" s="72" t="s">
        <v>166</v>
      </c>
    </row>
    <row r="30" spans="1:17" x14ac:dyDescent="0.25">
      <c r="A30" s="72" t="s">
        <v>30</v>
      </c>
      <c r="D30" s="72" t="s">
        <v>167</v>
      </c>
    </row>
    <row r="31" spans="1:17" x14ac:dyDescent="0.25">
      <c r="A31" s="72" t="s">
        <v>30</v>
      </c>
      <c r="D31" s="72" t="s">
        <v>12</v>
      </c>
      <c r="F31" s="72" t="s">
        <v>168</v>
      </c>
    </row>
    <row r="32" spans="1:17" x14ac:dyDescent="0.25">
      <c r="A32" s="72" t="s">
        <v>30</v>
      </c>
      <c r="D32" s="72" t="s">
        <v>5</v>
      </c>
      <c r="F32" s="72" t="s">
        <v>169</v>
      </c>
    </row>
    <row r="33" spans="1:6" x14ac:dyDescent="0.25">
      <c r="A33" s="72" t="s">
        <v>19</v>
      </c>
      <c r="D33" s="72" t="s">
        <v>49</v>
      </c>
    </row>
    <row r="34" spans="1:6" x14ac:dyDescent="0.25">
      <c r="A34" s="72" t="s">
        <v>19</v>
      </c>
      <c r="F34" s="72" t="s">
        <v>170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RowHeight="15" x14ac:dyDescent="0.25"/>
  <sheetData>
    <row r="1" spans="1:26" x14ac:dyDescent="0.25">
      <c r="A1" s="72" t="s">
        <v>1779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288</v>
      </c>
      <c r="C2" s="72" t="s">
        <v>7</v>
      </c>
      <c r="D2" s="72" t="s">
        <v>289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798</v>
      </c>
      <c r="E4" s="72" t="s">
        <v>37</v>
      </c>
      <c r="F4" s="72" t="s">
        <v>116</v>
      </c>
      <c r="K4" s="72" t="s">
        <v>42</v>
      </c>
      <c r="M4" s="72" t="s">
        <v>382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383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384</v>
      </c>
      <c r="W6" s="72" t="s">
        <v>290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181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182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140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143</v>
      </c>
      <c r="C13" s="72" t="s">
        <v>1070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145</v>
      </c>
      <c r="C14" s="72" t="s">
        <v>1071</v>
      </c>
      <c r="E14" s="72" t="s">
        <v>221</v>
      </c>
      <c r="F14" s="72" t="s">
        <v>222</v>
      </c>
    </row>
    <row r="15" spans="1:26" x14ac:dyDescent="0.25">
      <c r="A15" s="72" t="s">
        <v>6</v>
      </c>
      <c r="B15" s="72" t="s">
        <v>143</v>
      </c>
      <c r="C15" s="72" t="s">
        <v>135</v>
      </c>
      <c r="E15" s="72" t="s">
        <v>138</v>
      </c>
      <c r="F15" s="72" t="s">
        <v>139</v>
      </c>
    </row>
    <row r="16" spans="1:26" x14ac:dyDescent="0.25">
      <c r="A16" s="72" t="s">
        <v>6</v>
      </c>
      <c r="B16" s="72" t="s">
        <v>145</v>
      </c>
      <c r="E16" s="72" t="s">
        <v>291</v>
      </c>
      <c r="F16" s="72" t="s">
        <v>292</v>
      </c>
    </row>
    <row r="17" spans="1:17" x14ac:dyDescent="0.25">
      <c r="B17" s="72" t="s">
        <v>146</v>
      </c>
      <c r="E17" s="72" t="s">
        <v>20</v>
      </c>
      <c r="F17" s="72" t="s">
        <v>144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</row>
    <row r="21" spans="1:17" x14ac:dyDescent="0.25">
      <c r="B21" s="72" t="s">
        <v>150</v>
      </c>
      <c r="E21" s="72" t="s">
        <v>33</v>
      </c>
      <c r="H21" s="72" t="s">
        <v>53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32</v>
      </c>
      <c r="H23" s="72" t="s">
        <v>54</v>
      </c>
    </row>
    <row r="24" spans="1:17" x14ac:dyDescent="0.25">
      <c r="B24" s="72" t="s">
        <v>207</v>
      </c>
      <c r="C24" s="72" t="s">
        <v>52</v>
      </c>
      <c r="D24" s="72" t="s">
        <v>52</v>
      </c>
    </row>
    <row r="25" spans="1:17" x14ac:dyDescent="0.25">
      <c r="B25" s="72" t="s">
        <v>225</v>
      </c>
      <c r="C25" s="72" t="s">
        <v>59</v>
      </c>
      <c r="D25" s="72" t="s">
        <v>28</v>
      </c>
      <c r="E25" s="72" t="s">
        <v>26</v>
      </c>
      <c r="F25" s="72" t="s">
        <v>29</v>
      </c>
      <c r="G25" s="72" t="s">
        <v>57</v>
      </c>
      <c r="H25" s="72" t="s">
        <v>27</v>
      </c>
      <c r="I25" s="72" t="s">
        <v>25</v>
      </c>
      <c r="J25" s="72" t="s">
        <v>10</v>
      </c>
      <c r="K25" s="72" t="s">
        <v>24</v>
      </c>
      <c r="M25" s="72" t="s">
        <v>31</v>
      </c>
      <c r="N25" s="72" t="s">
        <v>21</v>
      </c>
      <c r="O25" s="72" t="s">
        <v>22</v>
      </c>
      <c r="P25" s="72" t="s">
        <v>23</v>
      </c>
    </row>
    <row r="26" spans="1:17" ht="105" x14ac:dyDescent="0.25">
      <c r="B26" s="72" t="s">
        <v>293</v>
      </c>
      <c r="C26" s="72" t="s">
        <v>294</v>
      </c>
      <c r="D26" s="72" t="s">
        <v>318</v>
      </c>
      <c r="E26" s="72" t="s">
        <v>326</v>
      </c>
      <c r="F26" s="72" t="s">
        <v>334</v>
      </c>
      <c r="G26" s="73" t="s">
        <v>295</v>
      </c>
      <c r="H26" s="72" t="s">
        <v>342</v>
      </c>
      <c r="I26" s="72" t="s">
        <v>350</v>
      </c>
      <c r="J26" s="72" t="s">
        <v>358</v>
      </c>
      <c r="N26" s="72" t="s">
        <v>296</v>
      </c>
      <c r="O26" s="72" t="s">
        <v>366</v>
      </c>
      <c r="P26" s="72" t="s">
        <v>374</v>
      </c>
      <c r="Q26" s="73" t="s">
        <v>56</v>
      </c>
    </row>
    <row r="27" spans="1:17" x14ac:dyDescent="0.25">
      <c r="B27" s="72" t="s">
        <v>225</v>
      </c>
    </row>
    <row r="28" spans="1:17" x14ac:dyDescent="0.25">
      <c r="B28" s="72" t="s">
        <v>385</v>
      </c>
      <c r="D28" s="72" t="s">
        <v>166</v>
      </c>
    </row>
    <row r="30" spans="1:17" x14ac:dyDescent="0.25">
      <c r="A30" s="72" t="s">
        <v>30</v>
      </c>
      <c r="D30" s="72" t="s">
        <v>167</v>
      </c>
    </row>
    <row r="31" spans="1:17" x14ac:dyDescent="0.25">
      <c r="A31" s="72" t="s">
        <v>30</v>
      </c>
      <c r="D31" s="72" t="s">
        <v>12</v>
      </c>
      <c r="F31" s="72" t="s">
        <v>168</v>
      </c>
    </row>
    <row r="32" spans="1:17" x14ac:dyDescent="0.25">
      <c r="A32" s="72" t="s">
        <v>30</v>
      </c>
      <c r="D32" s="72" t="s">
        <v>5</v>
      </c>
      <c r="F32" s="72" t="s">
        <v>169</v>
      </c>
    </row>
    <row r="33" spans="1:6" x14ac:dyDescent="0.25">
      <c r="A33" s="72" t="s">
        <v>19</v>
      </c>
      <c r="D33" s="72" t="s">
        <v>49</v>
      </c>
    </row>
    <row r="34" spans="1:6" x14ac:dyDescent="0.25">
      <c r="A34" s="72" t="s">
        <v>19</v>
      </c>
      <c r="F34" s="72" t="s">
        <v>170</v>
      </c>
    </row>
    <row r="35" spans="1:6" x14ac:dyDescent="0.25">
      <c r="A35" s="72" t="s">
        <v>184</v>
      </c>
      <c r="F35" s="72" t="s">
        <v>1074</v>
      </c>
    </row>
    <row r="36" spans="1:6" x14ac:dyDescent="0.25">
      <c r="A36" s="72" t="s">
        <v>19</v>
      </c>
    </row>
    <row r="37" spans="1:6" x14ac:dyDescent="0.25">
      <c r="A37" s="72" t="s">
        <v>30</v>
      </c>
      <c r="D37" s="72" t="s">
        <v>50</v>
      </c>
      <c r="F37" s="72" t="s">
        <v>171</v>
      </c>
    </row>
    <row r="38" spans="1:6" x14ac:dyDescent="0.25">
      <c r="A38" s="72" t="s">
        <v>30</v>
      </c>
      <c r="D38" s="72" t="s">
        <v>32</v>
      </c>
    </row>
    <row r="39" spans="1:6" x14ac:dyDescent="0.25">
      <c r="A39" s="72" t="s">
        <v>30</v>
      </c>
      <c r="D39" s="72" t="s">
        <v>51</v>
      </c>
    </row>
    <row r="40" spans="1:6" x14ac:dyDescent="0.25">
      <c r="A40" s="72" t="s">
        <v>30</v>
      </c>
      <c r="D40" s="72" t="s">
        <v>172</v>
      </c>
    </row>
    <row r="41" spans="1:6" x14ac:dyDescent="0.25">
      <c r="A41" s="72" t="s">
        <v>30</v>
      </c>
      <c r="D41" s="72" t="s">
        <v>55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1781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835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1075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59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1783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517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1078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59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184</v>
      </c>
      <c r="F34" s="72" t="s">
        <v>1081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/>
  </sheetViews>
  <sheetFormatPr defaultRowHeight="15" x14ac:dyDescent="0.25"/>
  <sheetData>
    <row r="1" spans="1:26" x14ac:dyDescent="0.25">
      <c r="A1" s="72" t="s">
        <v>1785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669</v>
      </c>
      <c r="C2" s="72" t="s">
        <v>7</v>
      </c>
      <c r="D2" s="72" t="s">
        <v>670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804</v>
      </c>
      <c r="E4" s="72" t="s">
        <v>37</v>
      </c>
      <c r="F4" s="72" t="s">
        <v>116</v>
      </c>
      <c r="K4" s="72" t="s">
        <v>42</v>
      </c>
      <c r="M4" s="72" t="s">
        <v>714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715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716</v>
      </c>
      <c r="W6" s="72" t="s">
        <v>674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402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675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145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146</v>
      </c>
      <c r="C13" s="72" t="s">
        <v>1082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147</v>
      </c>
      <c r="C14" s="72" t="s">
        <v>1084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148</v>
      </c>
      <c r="C15" s="72" t="s">
        <v>1086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149</v>
      </c>
      <c r="C16" s="72" t="s">
        <v>1088</v>
      </c>
      <c r="E16" s="72" t="s">
        <v>571</v>
      </c>
      <c r="F16" s="72" t="s">
        <v>575</v>
      </c>
    </row>
    <row r="17" spans="1:17" x14ac:dyDescent="0.25">
      <c r="A17" s="72" t="s">
        <v>6</v>
      </c>
      <c r="B17" s="72" t="s">
        <v>146</v>
      </c>
      <c r="C17" s="72" t="s">
        <v>135</v>
      </c>
      <c r="E17" s="72" t="s">
        <v>138</v>
      </c>
      <c r="F17" s="72" t="s">
        <v>139</v>
      </c>
    </row>
    <row r="18" spans="1:17" x14ac:dyDescent="0.25">
      <c r="A18" s="72" t="s">
        <v>6</v>
      </c>
      <c r="B18" s="72" t="s">
        <v>147</v>
      </c>
      <c r="E18" s="72" t="s">
        <v>676</v>
      </c>
      <c r="F18" s="72" t="s">
        <v>677</v>
      </c>
    </row>
    <row r="19" spans="1:17" x14ac:dyDescent="0.25">
      <c r="B19" s="72" t="s">
        <v>148</v>
      </c>
      <c r="E19" s="72" t="s">
        <v>20</v>
      </c>
      <c r="F19" s="72" t="s">
        <v>144</v>
      </c>
    </row>
    <row r="20" spans="1:17" x14ac:dyDescent="0.25">
      <c r="B20" s="72" t="s">
        <v>149</v>
      </c>
    </row>
    <row r="21" spans="1:17" x14ac:dyDescent="0.25">
      <c r="B21" s="72" t="s">
        <v>150</v>
      </c>
    </row>
    <row r="22" spans="1:17" x14ac:dyDescent="0.25">
      <c r="B22" s="72" t="s">
        <v>151</v>
      </c>
    </row>
    <row r="23" spans="1:17" x14ac:dyDescent="0.25">
      <c r="B23" s="72" t="s">
        <v>152</v>
      </c>
      <c r="E23" s="72" t="s">
        <v>33</v>
      </c>
      <c r="H23" s="72" t="s">
        <v>53</v>
      </c>
    </row>
    <row r="24" spans="1:17" x14ac:dyDescent="0.25">
      <c r="B24" s="72" t="s">
        <v>207</v>
      </c>
    </row>
    <row r="25" spans="1:17" x14ac:dyDescent="0.25">
      <c r="B25" s="72" t="s">
        <v>225</v>
      </c>
      <c r="E25" s="72" t="s">
        <v>32</v>
      </c>
      <c r="H25" s="72" t="s">
        <v>54</v>
      </c>
    </row>
    <row r="26" spans="1:17" x14ac:dyDescent="0.25">
      <c r="B26" s="72" t="s">
        <v>226</v>
      </c>
      <c r="C26" s="72" t="s">
        <v>52</v>
      </c>
      <c r="D26" s="72" t="s">
        <v>52</v>
      </c>
    </row>
    <row r="27" spans="1:17" x14ac:dyDescent="0.25">
      <c r="B27" s="72" t="s">
        <v>534</v>
      </c>
      <c r="C27" s="72" t="s">
        <v>59</v>
      </c>
      <c r="D27" s="72" t="s">
        <v>28</v>
      </c>
      <c r="E27" s="72" t="s">
        <v>26</v>
      </c>
      <c r="F27" s="72" t="s">
        <v>29</v>
      </c>
      <c r="G27" s="72" t="s">
        <v>57</v>
      </c>
      <c r="H27" s="72" t="s">
        <v>27</v>
      </c>
      <c r="I27" s="72" t="s">
        <v>25</v>
      </c>
      <c r="J27" s="72" t="s">
        <v>10</v>
      </c>
      <c r="K27" s="72" t="s">
        <v>24</v>
      </c>
      <c r="M27" s="72" t="s">
        <v>31</v>
      </c>
      <c r="N27" s="72" t="s">
        <v>21</v>
      </c>
      <c r="O27" s="72" t="s">
        <v>22</v>
      </c>
      <c r="P27" s="72" t="s">
        <v>23</v>
      </c>
    </row>
    <row r="28" spans="1:17" ht="105" x14ac:dyDescent="0.25">
      <c r="B28" s="72" t="s">
        <v>230</v>
      </c>
      <c r="C28" s="72" t="s">
        <v>678</v>
      </c>
      <c r="D28" s="72" t="s">
        <v>244</v>
      </c>
      <c r="E28" s="72" t="s">
        <v>249</v>
      </c>
      <c r="F28" s="72" t="s">
        <v>254</v>
      </c>
      <c r="G28" s="73" t="s">
        <v>231</v>
      </c>
      <c r="H28" s="72" t="s">
        <v>259</v>
      </c>
      <c r="I28" s="72" t="s">
        <v>264</v>
      </c>
      <c r="J28" s="72" t="s">
        <v>269</v>
      </c>
      <c r="N28" s="72" t="s">
        <v>232</v>
      </c>
      <c r="O28" s="72" t="s">
        <v>274</v>
      </c>
      <c r="P28" s="72" t="s">
        <v>279</v>
      </c>
      <c r="Q28" s="73" t="s">
        <v>56</v>
      </c>
    </row>
    <row r="29" spans="1:17" x14ac:dyDescent="0.25">
      <c r="B29" s="72" t="s">
        <v>534</v>
      </c>
    </row>
    <row r="30" spans="1:17" x14ac:dyDescent="0.25">
      <c r="B30" s="72" t="s">
        <v>284</v>
      </c>
      <c r="D30" s="72" t="s">
        <v>166</v>
      </c>
    </row>
    <row r="32" spans="1:17" x14ac:dyDescent="0.25">
      <c r="A32" s="72" t="s">
        <v>30</v>
      </c>
      <c r="D32" s="72" t="s">
        <v>167</v>
      </c>
    </row>
    <row r="33" spans="1:6" x14ac:dyDescent="0.25">
      <c r="A33" s="72" t="s">
        <v>30</v>
      </c>
      <c r="D33" s="72" t="s">
        <v>12</v>
      </c>
      <c r="F33" s="72" t="s">
        <v>168</v>
      </c>
    </row>
    <row r="34" spans="1:6" x14ac:dyDescent="0.25">
      <c r="A34" s="72" t="s">
        <v>30</v>
      </c>
      <c r="D34" s="72" t="s">
        <v>5</v>
      </c>
      <c r="F34" s="72" t="s">
        <v>169</v>
      </c>
    </row>
    <row r="35" spans="1:6" x14ac:dyDescent="0.25">
      <c r="A35" s="72" t="s">
        <v>19</v>
      </c>
      <c r="D35" s="72" t="s">
        <v>49</v>
      </c>
    </row>
    <row r="36" spans="1:6" x14ac:dyDescent="0.25">
      <c r="A36" s="72" t="s">
        <v>19</v>
      </c>
      <c r="F36" s="72" t="s">
        <v>170</v>
      </c>
    </row>
    <row r="37" spans="1:6" x14ac:dyDescent="0.25">
      <c r="A37" s="72" t="s">
        <v>184</v>
      </c>
      <c r="F37" s="72" t="s">
        <v>1083</v>
      </c>
    </row>
    <row r="38" spans="1:6" x14ac:dyDescent="0.25">
      <c r="A38" s="72" t="s">
        <v>184</v>
      </c>
      <c r="F38" s="72" t="s">
        <v>1085</v>
      </c>
    </row>
    <row r="39" spans="1:6" x14ac:dyDescent="0.25">
      <c r="A39" s="72" t="s">
        <v>184</v>
      </c>
      <c r="F39" s="72" t="s">
        <v>1087</v>
      </c>
    </row>
    <row r="40" spans="1:6" x14ac:dyDescent="0.25">
      <c r="A40" s="72" t="s">
        <v>19</v>
      </c>
    </row>
    <row r="41" spans="1:6" x14ac:dyDescent="0.25">
      <c r="A41" s="72" t="s">
        <v>30</v>
      </c>
      <c r="D41" s="72" t="s">
        <v>50</v>
      </c>
      <c r="F41" s="72" t="s">
        <v>171</v>
      </c>
    </row>
    <row r="42" spans="1:6" x14ac:dyDescent="0.25">
      <c r="A42" s="72" t="s">
        <v>30</v>
      </c>
      <c r="D42" s="72" t="s">
        <v>32</v>
      </c>
    </row>
    <row r="43" spans="1:6" x14ac:dyDescent="0.25">
      <c r="A43" s="72" t="s">
        <v>30</v>
      </c>
      <c r="D43" s="72" t="s">
        <v>51</v>
      </c>
    </row>
    <row r="44" spans="1:6" x14ac:dyDescent="0.25">
      <c r="A44" s="72" t="s">
        <v>30</v>
      </c>
      <c r="D44" s="72" t="s">
        <v>172</v>
      </c>
    </row>
    <row r="45" spans="1:6" x14ac:dyDescent="0.25">
      <c r="A45" s="72" t="s">
        <v>30</v>
      </c>
      <c r="D45" s="72" t="s">
        <v>55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RowHeight="15" x14ac:dyDescent="0.25"/>
  <sheetData>
    <row r="1" spans="1:26" x14ac:dyDescent="0.25">
      <c r="A1" s="72" t="s">
        <v>1787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519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1098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59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184</v>
      </c>
      <c r="F34" s="72" t="s">
        <v>1099</v>
      </c>
    </row>
    <row r="35" spans="1:6" x14ac:dyDescent="0.25">
      <c r="A35" s="72" t="s">
        <v>19</v>
      </c>
    </row>
    <row r="36" spans="1:6" x14ac:dyDescent="0.25">
      <c r="A36" s="72" t="s">
        <v>30</v>
      </c>
      <c r="D36" s="72" t="s">
        <v>50</v>
      </c>
      <c r="F36" s="72" t="s">
        <v>171</v>
      </c>
    </row>
    <row r="37" spans="1:6" x14ac:dyDescent="0.25">
      <c r="A37" s="72" t="s">
        <v>30</v>
      </c>
      <c r="D37" s="72" t="s">
        <v>32</v>
      </c>
    </row>
    <row r="38" spans="1:6" x14ac:dyDescent="0.25">
      <c r="A38" s="72" t="s">
        <v>30</v>
      </c>
      <c r="D38" s="72" t="s">
        <v>51</v>
      </c>
    </row>
    <row r="39" spans="1:6" x14ac:dyDescent="0.25">
      <c r="A39" s="72" t="s">
        <v>30</v>
      </c>
      <c r="D39" s="72" t="s">
        <v>172</v>
      </c>
    </row>
    <row r="40" spans="1:6" x14ac:dyDescent="0.25">
      <c r="A40" s="72" t="s">
        <v>30</v>
      </c>
      <c r="D40" s="72" t="s">
        <v>55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/>
  </sheetViews>
  <sheetFormatPr defaultRowHeight="15" x14ac:dyDescent="0.25"/>
  <sheetData>
    <row r="1" spans="1:26" x14ac:dyDescent="0.25">
      <c r="A1" s="72" t="s">
        <v>1789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195</v>
      </c>
      <c r="C2" s="72" t="s">
        <v>7</v>
      </c>
      <c r="D2" s="72" t="s">
        <v>196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858</v>
      </c>
      <c r="E4" s="72" t="s">
        <v>37</v>
      </c>
      <c r="F4" s="72" t="s">
        <v>116</v>
      </c>
      <c r="K4" s="72" t="s">
        <v>42</v>
      </c>
      <c r="M4" s="72" t="s">
        <v>197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198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199</v>
      </c>
      <c r="W6" s="72" t="s">
        <v>200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201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202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137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140</v>
      </c>
      <c r="C13" s="72" t="s">
        <v>1103</v>
      </c>
      <c r="E13" s="72" t="s">
        <v>203</v>
      </c>
      <c r="F13" s="72" t="s">
        <v>204</v>
      </c>
    </row>
    <row r="14" spans="1:26" x14ac:dyDescent="0.25">
      <c r="A14" s="72" t="s">
        <v>6</v>
      </c>
      <c r="B14" s="72" t="s">
        <v>140</v>
      </c>
      <c r="C14" s="72" t="s">
        <v>135</v>
      </c>
      <c r="E14" s="72" t="s">
        <v>138</v>
      </c>
      <c r="F14" s="72" t="s">
        <v>139</v>
      </c>
    </row>
    <row r="15" spans="1:26" x14ac:dyDescent="0.25">
      <c r="A15" s="72" t="s">
        <v>6</v>
      </c>
      <c r="B15" s="72" t="s">
        <v>143</v>
      </c>
      <c r="E15" s="72" t="s">
        <v>205</v>
      </c>
      <c r="F15" s="72" t="s">
        <v>206</v>
      </c>
    </row>
    <row r="16" spans="1:26" x14ac:dyDescent="0.25">
      <c r="B16" s="72" t="s">
        <v>145</v>
      </c>
      <c r="E16" s="72" t="s">
        <v>20</v>
      </c>
      <c r="F16" s="72" t="s">
        <v>144</v>
      </c>
    </row>
    <row r="17" spans="1:17" x14ac:dyDescent="0.25">
      <c r="B17" s="72" t="s">
        <v>146</v>
      </c>
    </row>
    <row r="18" spans="1:17" x14ac:dyDescent="0.25">
      <c r="B18" s="72" t="s">
        <v>147</v>
      </c>
    </row>
    <row r="19" spans="1:17" x14ac:dyDescent="0.25">
      <c r="B19" s="72" t="s">
        <v>148</v>
      </c>
    </row>
    <row r="20" spans="1:17" x14ac:dyDescent="0.25">
      <c r="B20" s="72" t="s">
        <v>149</v>
      </c>
      <c r="E20" s="72" t="s">
        <v>33</v>
      </c>
      <c r="H20" s="72" t="s">
        <v>53</v>
      </c>
    </row>
    <row r="21" spans="1:17" x14ac:dyDescent="0.25">
      <c r="B21" s="72" t="s">
        <v>150</v>
      </c>
    </row>
    <row r="22" spans="1:17" x14ac:dyDescent="0.25">
      <c r="B22" s="72" t="s">
        <v>151</v>
      </c>
      <c r="E22" s="72" t="s">
        <v>32</v>
      </c>
      <c r="H22" s="72" t="s">
        <v>54</v>
      </c>
    </row>
    <row r="23" spans="1:17" x14ac:dyDescent="0.25">
      <c r="B23" s="72" t="s">
        <v>152</v>
      </c>
      <c r="C23" s="72" t="s">
        <v>52</v>
      </c>
      <c r="D23" s="72" t="s">
        <v>52</v>
      </c>
    </row>
    <row r="24" spans="1:17" x14ac:dyDescent="0.25">
      <c r="B24" s="72" t="s">
        <v>207</v>
      </c>
      <c r="C24" s="72" t="s">
        <v>59</v>
      </c>
      <c r="D24" s="72" t="s">
        <v>28</v>
      </c>
      <c r="E24" s="72" t="s">
        <v>26</v>
      </c>
      <c r="F24" s="72" t="s">
        <v>29</v>
      </c>
      <c r="G24" s="72" t="s">
        <v>57</v>
      </c>
      <c r="H24" s="72" t="s">
        <v>27</v>
      </c>
      <c r="I24" s="72" t="s">
        <v>25</v>
      </c>
      <c r="J24" s="72" t="s">
        <v>10</v>
      </c>
      <c r="K24" s="72" t="s">
        <v>24</v>
      </c>
      <c r="M24" s="72" t="s">
        <v>31</v>
      </c>
      <c r="N24" s="72" t="s">
        <v>21</v>
      </c>
      <c r="O24" s="72" t="s">
        <v>22</v>
      </c>
      <c r="P24" s="72" t="s">
        <v>23</v>
      </c>
    </row>
    <row r="25" spans="1:17" ht="105" x14ac:dyDescent="0.25">
      <c r="B25" s="72" t="s">
        <v>208</v>
      </c>
      <c r="C25" s="72" t="s">
        <v>209</v>
      </c>
      <c r="D25" s="72" t="s">
        <v>210</v>
      </c>
      <c r="E25" s="72" t="s">
        <v>211</v>
      </c>
      <c r="F25" s="72" t="s">
        <v>212</v>
      </c>
      <c r="G25" s="73" t="s">
        <v>213</v>
      </c>
      <c r="H25" s="72" t="s">
        <v>214</v>
      </c>
      <c r="I25" s="72" t="s">
        <v>215</v>
      </c>
      <c r="J25" s="72" t="s">
        <v>216</v>
      </c>
      <c r="N25" s="72" t="s">
        <v>217</v>
      </c>
      <c r="O25" s="72" t="s">
        <v>218</v>
      </c>
      <c r="P25" s="72" t="s">
        <v>219</v>
      </c>
      <c r="Q25" s="73" t="s">
        <v>56</v>
      </c>
    </row>
    <row r="26" spans="1:17" x14ac:dyDescent="0.25">
      <c r="B26" s="72" t="s">
        <v>207</v>
      </c>
    </row>
    <row r="27" spans="1:17" x14ac:dyDescent="0.25">
      <c r="B27" s="72" t="s">
        <v>220</v>
      </c>
      <c r="D27" s="72" t="s">
        <v>166</v>
      </c>
    </row>
    <row r="29" spans="1:17" x14ac:dyDescent="0.25">
      <c r="A29" s="72" t="s">
        <v>30</v>
      </c>
      <c r="D29" s="72" t="s">
        <v>167</v>
      </c>
    </row>
    <row r="30" spans="1:17" x14ac:dyDescent="0.25">
      <c r="A30" s="72" t="s">
        <v>30</v>
      </c>
      <c r="D30" s="72" t="s">
        <v>12</v>
      </c>
      <c r="F30" s="72" t="s">
        <v>168</v>
      </c>
    </row>
    <row r="31" spans="1:17" x14ac:dyDescent="0.25">
      <c r="A31" s="72" t="s">
        <v>30</v>
      </c>
      <c r="D31" s="72" t="s">
        <v>5</v>
      </c>
      <c r="F31" s="72" t="s">
        <v>169</v>
      </c>
    </row>
    <row r="32" spans="1:17" x14ac:dyDescent="0.25">
      <c r="A32" s="72" t="s">
        <v>19</v>
      </c>
      <c r="D32" s="72" t="s">
        <v>49</v>
      </c>
    </row>
    <row r="33" spans="1:6" x14ac:dyDescent="0.25">
      <c r="A33" s="72" t="s">
        <v>19</v>
      </c>
      <c r="F33" s="72" t="s">
        <v>170</v>
      </c>
    </row>
    <row r="34" spans="1:6" x14ac:dyDescent="0.25">
      <c r="A34" s="72" t="s">
        <v>19</v>
      </c>
    </row>
    <row r="35" spans="1:6" x14ac:dyDescent="0.25">
      <c r="A35" s="72" t="s">
        <v>30</v>
      </c>
      <c r="D35" s="72" t="s">
        <v>50</v>
      </c>
      <c r="F35" s="72" t="s">
        <v>171</v>
      </c>
    </row>
    <row r="36" spans="1:6" x14ac:dyDescent="0.25">
      <c r="A36" s="72" t="s">
        <v>30</v>
      </c>
      <c r="D36" s="72" t="s">
        <v>32</v>
      </c>
    </row>
    <row r="37" spans="1:6" x14ac:dyDescent="0.25">
      <c r="A37" s="72" t="s">
        <v>30</v>
      </c>
      <c r="D37" s="72" t="s">
        <v>51</v>
      </c>
    </row>
    <row r="38" spans="1:6" x14ac:dyDescent="0.25">
      <c r="A38" s="72" t="s">
        <v>30</v>
      </c>
      <c r="D38" s="72" t="s">
        <v>172</v>
      </c>
    </row>
    <row r="39" spans="1:6" x14ac:dyDescent="0.25">
      <c r="A39" s="72" t="s">
        <v>30</v>
      </c>
      <c r="D39" s="72" t="s">
        <v>55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/>
  </sheetViews>
  <sheetFormatPr defaultRowHeight="15" x14ac:dyDescent="0.25"/>
  <sheetData>
    <row r="1" spans="1:26" x14ac:dyDescent="0.25">
      <c r="A1" s="72" t="s">
        <v>1791</v>
      </c>
      <c r="B1" s="72" t="s">
        <v>11</v>
      </c>
      <c r="C1" s="72" t="s">
        <v>6</v>
      </c>
      <c r="D1" s="72" t="s">
        <v>30</v>
      </c>
      <c r="E1" s="72" t="s">
        <v>30</v>
      </c>
      <c r="F1" s="72" t="s">
        <v>30</v>
      </c>
      <c r="G1" s="72" t="s">
        <v>30</v>
      </c>
      <c r="H1" s="72" t="s">
        <v>30</v>
      </c>
      <c r="I1" s="72" t="s">
        <v>30</v>
      </c>
      <c r="J1" s="72" t="s">
        <v>30</v>
      </c>
      <c r="K1" s="72" t="s">
        <v>30</v>
      </c>
      <c r="L1" s="72" t="s">
        <v>19</v>
      </c>
      <c r="M1" s="72" t="s">
        <v>30</v>
      </c>
      <c r="N1" s="72" t="s">
        <v>19</v>
      </c>
      <c r="O1" s="72" t="s">
        <v>19</v>
      </c>
      <c r="P1" s="72" t="s">
        <v>19</v>
      </c>
      <c r="Q1" s="72" t="s">
        <v>19</v>
      </c>
      <c r="R1" s="72" t="s">
        <v>19</v>
      </c>
      <c r="S1" s="72" t="s">
        <v>19</v>
      </c>
      <c r="T1" s="72" t="s">
        <v>19</v>
      </c>
      <c r="U1" s="72" t="s">
        <v>19</v>
      </c>
      <c r="V1" s="72" t="s">
        <v>19</v>
      </c>
      <c r="W1" s="72" t="s">
        <v>19</v>
      </c>
      <c r="X1" s="72" t="s">
        <v>19</v>
      </c>
      <c r="Y1" s="72" t="s">
        <v>19</v>
      </c>
      <c r="Z1" s="72" t="s">
        <v>19</v>
      </c>
    </row>
    <row r="2" spans="1:26" x14ac:dyDescent="0.25">
      <c r="A2" s="72" t="s">
        <v>30</v>
      </c>
      <c r="B2" s="72" t="s">
        <v>704</v>
      </c>
      <c r="C2" s="72" t="s">
        <v>7</v>
      </c>
      <c r="D2" s="72" t="s">
        <v>705</v>
      </c>
    </row>
    <row r="3" spans="1:26" x14ac:dyDescent="0.25">
      <c r="A3" s="72" t="s">
        <v>6</v>
      </c>
      <c r="B3" s="72" t="s">
        <v>113</v>
      </c>
    </row>
    <row r="4" spans="1:26" x14ac:dyDescent="0.25">
      <c r="B4" s="72" t="s">
        <v>114</v>
      </c>
      <c r="C4" s="72" t="s">
        <v>1109</v>
      </c>
      <c r="E4" s="72" t="s">
        <v>37</v>
      </c>
      <c r="F4" s="72" t="s">
        <v>116</v>
      </c>
      <c r="K4" s="72" t="s">
        <v>42</v>
      </c>
      <c r="M4" s="72" t="s">
        <v>720</v>
      </c>
    </row>
    <row r="5" spans="1:26" x14ac:dyDescent="0.25">
      <c r="B5" s="72" t="s">
        <v>118</v>
      </c>
      <c r="C5" s="72" t="s">
        <v>119</v>
      </c>
      <c r="E5" s="72" t="s">
        <v>36</v>
      </c>
      <c r="F5" s="72" t="s">
        <v>1545</v>
      </c>
      <c r="K5" s="72" t="s">
        <v>43</v>
      </c>
      <c r="M5" s="72" t="s">
        <v>721</v>
      </c>
    </row>
    <row r="6" spans="1:26" x14ac:dyDescent="0.25">
      <c r="B6" s="72" t="s">
        <v>121</v>
      </c>
      <c r="C6" s="72" t="s">
        <v>122</v>
      </c>
      <c r="E6" s="72" t="s">
        <v>38</v>
      </c>
      <c r="F6" s="72" t="s">
        <v>123</v>
      </c>
      <c r="G6" s="72" t="s">
        <v>124</v>
      </c>
      <c r="K6" s="72" t="s">
        <v>58</v>
      </c>
      <c r="M6" s="72" t="s">
        <v>722</v>
      </c>
      <c r="W6" s="72" t="s">
        <v>706</v>
      </c>
    </row>
    <row r="7" spans="1:26" x14ac:dyDescent="0.25">
      <c r="B7" s="72" t="s">
        <v>127</v>
      </c>
      <c r="E7" s="72" t="s">
        <v>39</v>
      </c>
      <c r="F7" s="72" t="s">
        <v>128</v>
      </c>
      <c r="W7" s="72" t="s">
        <v>46</v>
      </c>
    </row>
    <row r="8" spans="1:26" x14ac:dyDescent="0.25">
      <c r="A8" s="72" t="s">
        <v>6</v>
      </c>
      <c r="B8" s="72" t="s">
        <v>129</v>
      </c>
      <c r="E8" s="72" t="s">
        <v>40</v>
      </c>
      <c r="F8" s="72" t="s">
        <v>423</v>
      </c>
      <c r="W8" s="72" t="s">
        <v>47</v>
      </c>
    </row>
    <row r="9" spans="1:26" x14ac:dyDescent="0.25">
      <c r="A9" s="72" t="s">
        <v>6</v>
      </c>
      <c r="B9" s="72" t="s">
        <v>130</v>
      </c>
      <c r="E9" s="72" t="s">
        <v>41</v>
      </c>
      <c r="F9" s="72" t="s">
        <v>707</v>
      </c>
      <c r="W9" s="72" t="s">
        <v>48</v>
      </c>
    </row>
    <row r="10" spans="1:26" x14ac:dyDescent="0.25">
      <c r="A10" s="72" t="s">
        <v>6</v>
      </c>
      <c r="B10" s="72" t="s">
        <v>131</v>
      </c>
    </row>
    <row r="11" spans="1:26" x14ac:dyDescent="0.25">
      <c r="A11" s="72" t="s">
        <v>6</v>
      </c>
      <c r="B11" s="72" t="s">
        <v>132</v>
      </c>
      <c r="E11" s="72" t="s">
        <v>8</v>
      </c>
      <c r="F11" s="72" t="s">
        <v>9</v>
      </c>
    </row>
    <row r="12" spans="1:26" x14ac:dyDescent="0.25">
      <c r="A12" s="72" t="s">
        <v>6</v>
      </c>
      <c r="B12" s="72" t="s">
        <v>149</v>
      </c>
      <c r="C12" s="72" t="s">
        <v>134</v>
      </c>
      <c r="E12" s="72" t="s">
        <v>135</v>
      </c>
      <c r="F12" s="72" t="s">
        <v>136</v>
      </c>
    </row>
    <row r="13" spans="1:26" x14ac:dyDescent="0.25">
      <c r="A13" s="72" t="s">
        <v>173</v>
      </c>
      <c r="B13" s="72" t="s">
        <v>150</v>
      </c>
      <c r="C13" s="72" t="s">
        <v>1113</v>
      </c>
      <c r="E13" s="72" t="s">
        <v>203</v>
      </c>
      <c r="F13" s="72" t="s">
        <v>204</v>
      </c>
    </row>
    <row r="14" spans="1:26" x14ac:dyDescent="0.25">
      <c r="A14" s="72" t="s">
        <v>173</v>
      </c>
      <c r="B14" s="72" t="s">
        <v>151</v>
      </c>
      <c r="C14" s="72" t="s">
        <v>1114</v>
      </c>
      <c r="E14" s="72" t="s">
        <v>221</v>
      </c>
      <c r="F14" s="72" t="s">
        <v>222</v>
      </c>
    </row>
    <row r="15" spans="1:26" x14ac:dyDescent="0.25">
      <c r="A15" s="72" t="s">
        <v>173</v>
      </c>
      <c r="B15" s="72" t="s">
        <v>152</v>
      </c>
      <c r="C15" s="72" t="s">
        <v>1115</v>
      </c>
      <c r="E15" s="72" t="s">
        <v>223</v>
      </c>
      <c r="F15" s="72" t="s">
        <v>224</v>
      </c>
    </row>
    <row r="16" spans="1:26" x14ac:dyDescent="0.25">
      <c r="A16" s="72" t="s">
        <v>173</v>
      </c>
      <c r="B16" s="72" t="s">
        <v>207</v>
      </c>
      <c r="C16" s="72" t="s">
        <v>1117</v>
      </c>
      <c r="E16" s="72" t="s">
        <v>571</v>
      </c>
      <c r="F16" s="72" t="s">
        <v>575</v>
      </c>
    </row>
    <row r="17" spans="1:17" x14ac:dyDescent="0.25">
      <c r="A17" s="72" t="s">
        <v>173</v>
      </c>
      <c r="B17" s="72" t="s">
        <v>225</v>
      </c>
      <c r="C17" s="72" t="s">
        <v>1118</v>
      </c>
      <c r="E17" s="72" t="s">
        <v>572</v>
      </c>
      <c r="F17" s="72" t="s">
        <v>576</v>
      </c>
    </row>
    <row r="18" spans="1:17" x14ac:dyDescent="0.25">
      <c r="A18" s="72" t="s">
        <v>173</v>
      </c>
      <c r="B18" s="72" t="s">
        <v>226</v>
      </c>
      <c r="C18" s="72" t="s">
        <v>1120</v>
      </c>
      <c r="E18" s="72" t="s">
        <v>573</v>
      </c>
      <c r="F18" s="72" t="s">
        <v>577</v>
      </c>
    </row>
    <row r="19" spans="1:17" x14ac:dyDescent="0.25">
      <c r="A19" s="72" t="s">
        <v>173</v>
      </c>
      <c r="B19" s="72" t="s">
        <v>534</v>
      </c>
      <c r="C19" s="72" t="s">
        <v>1121</v>
      </c>
      <c r="E19" s="72" t="s">
        <v>574</v>
      </c>
      <c r="F19" s="72" t="s">
        <v>578</v>
      </c>
    </row>
    <row r="20" spans="1:17" x14ac:dyDescent="0.25">
      <c r="A20" s="72" t="s">
        <v>173</v>
      </c>
      <c r="B20" s="72" t="s">
        <v>535</v>
      </c>
      <c r="C20" s="72" t="s">
        <v>1123</v>
      </c>
      <c r="E20" s="72" t="s">
        <v>712</v>
      </c>
      <c r="F20" s="72" t="s">
        <v>713</v>
      </c>
    </row>
    <row r="21" spans="1:17" x14ac:dyDescent="0.25">
      <c r="A21" s="72" t="s">
        <v>6</v>
      </c>
      <c r="B21" s="72" t="s">
        <v>150</v>
      </c>
      <c r="C21" s="72" t="s">
        <v>135</v>
      </c>
      <c r="E21" s="72" t="s">
        <v>138</v>
      </c>
      <c r="F21" s="72" t="s">
        <v>139</v>
      </c>
    </row>
    <row r="22" spans="1:17" x14ac:dyDescent="0.25">
      <c r="A22" s="72" t="s">
        <v>6</v>
      </c>
      <c r="B22" s="72" t="s">
        <v>151</v>
      </c>
      <c r="E22" s="72" t="s">
        <v>708</v>
      </c>
      <c r="F22" s="72" t="s">
        <v>709</v>
      </c>
    </row>
    <row r="23" spans="1:17" x14ac:dyDescent="0.25">
      <c r="B23" s="72" t="s">
        <v>152</v>
      </c>
      <c r="E23" s="72" t="s">
        <v>20</v>
      </c>
      <c r="F23" s="72" t="s">
        <v>144</v>
      </c>
    </row>
    <row r="24" spans="1:17" x14ac:dyDescent="0.25">
      <c r="B24" s="72" t="s">
        <v>207</v>
      </c>
    </row>
    <row r="25" spans="1:17" x14ac:dyDescent="0.25">
      <c r="B25" s="72" t="s">
        <v>225</v>
      </c>
    </row>
    <row r="26" spans="1:17" x14ac:dyDescent="0.25">
      <c r="B26" s="72" t="s">
        <v>226</v>
      </c>
    </row>
    <row r="27" spans="1:17" x14ac:dyDescent="0.25">
      <c r="B27" s="72" t="s">
        <v>534</v>
      </c>
      <c r="E27" s="72" t="s">
        <v>33</v>
      </c>
      <c r="H27" s="72" t="s">
        <v>53</v>
      </c>
    </row>
    <row r="28" spans="1:17" x14ac:dyDescent="0.25">
      <c r="B28" s="72" t="s">
        <v>535</v>
      </c>
    </row>
    <row r="29" spans="1:17" x14ac:dyDescent="0.25">
      <c r="B29" s="72" t="s">
        <v>536</v>
      </c>
      <c r="E29" s="72" t="s">
        <v>32</v>
      </c>
      <c r="H29" s="72" t="s">
        <v>54</v>
      </c>
    </row>
    <row r="30" spans="1:17" x14ac:dyDescent="0.25">
      <c r="B30" s="72" t="s">
        <v>537</v>
      </c>
      <c r="C30" s="72" t="s">
        <v>52</v>
      </c>
      <c r="D30" s="72" t="s">
        <v>52</v>
      </c>
    </row>
    <row r="31" spans="1:17" x14ac:dyDescent="0.25">
      <c r="B31" s="72" t="s">
        <v>710</v>
      </c>
      <c r="C31" s="72" t="s">
        <v>59</v>
      </c>
      <c r="D31" s="72" t="s">
        <v>28</v>
      </c>
      <c r="E31" s="72" t="s">
        <v>26</v>
      </c>
      <c r="F31" s="72" t="s">
        <v>29</v>
      </c>
      <c r="G31" s="72" t="s">
        <v>57</v>
      </c>
      <c r="H31" s="72" t="s">
        <v>27</v>
      </c>
      <c r="I31" s="72" t="s">
        <v>25</v>
      </c>
      <c r="J31" s="72" t="s">
        <v>10</v>
      </c>
      <c r="K31" s="72" t="s">
        <v>24</v>
      </c>
      <c r="M31" s="72" t="s">
        <v>31</v>
      </c>
      <c r="N31" s="72" t="s">
        <v>21</v>
      </c>
      <c r="O31" s="72" t="s">
        <v>22</v>
      </c>
      <c r="P31" s="72" t="s">
        <v>23</v>
      </c>
    </row>
    <row r="32" spans="1:17" ht="105" x14ac:dyDescent="0.25">
      <c r="B32" s="72" t="s">
        <v>297</v>
      </c>
      <c r="C32" s="72" t="s">
        <v>711</v>
      </c>
      <c r="D32" s="72" t="s">
        <v>319</v>
      </c>
      <c r="E32" s="72" t="s">
        <v>327</v>
      </c>
      <c r="F32" s="72" t="s">
        <v>335</v>
      </c>
      <c r="G32" s="73" t="s">
        <v>298</v>
      </c>
      <c r="H32" s="72" t="s">
        <v>343</v>
      </c>
      <c r="I32" s="72" t="s">
        <v>351</v>
      </c>
      <c r="J32" s="72" t="s">
        <v>359</v>
      </c>
      <c r="N32" s="72" t="s">
        <v>299</v>
      </c>
      <c r="O32" s="72" t="s">
        <v>367</v>
      </c>
      <c r="P32" s="72" t="s">
        <v>375</v>
      </c>
      <c r="Q32" s="73" t="s">
        <v>56</v>
      </c>
    </row>
    <row r="33" spans="1:6" x14ac:dyDescent="0.25">
      <c r="B33" s="72" t="s">
        <v>710</v>
      </c>
    </row>
    <row r="34" spans="1:6" x14ac:dyDescent="0.25">
      <c r="B34" s="72" t="s">
        <v>679</v>
      </c>
      <c r="D34" s="72" t="s">
        <v>166</v>
      </c>
    </row>
    <row r="36" spans="1:6" x14ac:dyDescent="0.25">
      <c r="A36" s="72" t="s">
        <v>30</v>
      </c>
      <c r="D36" s="72" t="s">
        <v>167</v>
      </c>
    </row>
    <row r="37" spans="1:6" x14ac:dyDescent="0.25">
      <c r="A37" s="72" t="s">
        <v>30</v>
      </c>
      <c r="D37" s="72" t="s">
        <v>12</v>
      </c>
      <c r="F37" s="72" t="s">
        <v>168</v>
      </c>
    </row>
    <row r="38" spans="1:6" x14ac:dyDescent="0.25">
      <c r="A38" s="72" t="s">
        <v>30</v>
      </c>
      <c r="D38" s="72" t="s">
        <v>5</v>
      </c>
      <c r="F38" s="72" t="s">
        <v>169</v>
      </c>
    </row>
    <row r="39" spans="1:6" x14ac:dyDescent="0.25">
      <c r="A39" s="72" t="s">
        <v>19</v>
      </c>
      <c r="D39" s="72" t="s">
        <v>49</v>
      </c>
    </row>
    <row r="40" spans="1:6" x14ac:dyDescent="0.25">
      <c r="A40" s="72" t="s">
        <v>19</v>
      </c>
      <c r="F40" s="72" t="s">
        <v>170</v>
      </c>
    </row>
    <row r="41" spans="1:6" x14ac:dyDescent="0.25">
      <c r="A41" s="72" t="s">
        <v>184</v>
      </c>
      <c r="F41" s="72" t="s">
        <v>1116</v>
      </c>
    </row>
    <row r="42" spans="1:6" x14ac:dyDescent="0.25">
      <c r="A42" s="72" t="s">
        <v>184</v>
      </c>
      <c r="F42" s="72" t="s">
        <v>1119</v>
      </c>
    </row>
    <row r="43" spans="1:6" x14ac:dyDescent="0.25">
      <c r="A43" s="72" t="s">
        <v>184</v>
      </c>
      <c r="F43" s="72" t="s">
        <v>1122</v>
      </c>
    </row>
    <row r="44" spans="1:6" x14ac:dyDescent="0.25">
      <c r="A44" s="72" t="s">
        <v>19</v>
      </c>
    </row>
    <row r="45" spans="1:6" x14ac:dyDescent="0.25">
      <c r="A45" s="72" t="s">
        <v>30</v>
      </c>
      <c r="D45" s="72" t="s">
        <v>50</v>
      </c>
      <c r="F45" s="72" t="s">
        <v>171</v>
      </c>
    </row>
    <row r="46" spans="1:6" x14ac:dyDescent="0.25">
      <c r="A46" s="72" t="s">
        <v>30</v>
      </c>
      <c r="D46" s="72" t="s">
        <v>32</v>
      </c>
    </row>
    <row r="47" spans="1:6" x14ac:dyDescent="0.25">
      <c r="A47" s="72" t="s">
        <v>30</v>
      </c>
      <c r="D47" s="72" t="s">
        <v>51</v>
      </c>
    </row>
    <row r="48" spans="1:6" x14ac:dyDescent="0.25">
      <c r="A48" s="72" t="s">
        <v>30</v>
      </c>
      <c r="D48" s="72" t="s">
        <v>172</v>
      </c>
    </row>
    <row r="49" spans="1:4" x14ac:dyDescent="0.25">
      <c r="A49" s="72" t="s">
        <v>30</v>
      </c>
      <c r="D49" s="72" t="s">
        <v>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1615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/>
      </c>
      <c r="C2" s="74" t="s">
        <v>7</v>
      </c>
      <c r="D2" s="181" t="str">
        <f>IF(E26="",F5&amp;"  ("&amp;F4&amp;") - NO "&amp;C25,F5&amp;"  ("&amp;F4&amp;") - "&amp;C25&amp;" PICK LIST")</f>
        <v>FBC ALLEN FOOD PANTRY  (026077P)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"026077P"</f>
        <v>026077P</v>
      </c>
      <c r="E4" s="101" t="s">
        <v>37</v>
      </c>
      <c r="F4" s="105" t="str">
        <f>C4</f>
        <v>026077P</v>
      </c>
      <c r="K4" s="101" t="s">
        <v>42</v>
      </c>
      <c r="L4" s="104"/>
      <c r="M4" s="111">
        <f>SUM(I26:I29)</f>
        <v>22</v>
      </c>
    </row>
    <row r="5" spans="1:26" ht="18" customHeight="1" x14ac:dyDescent="0.25">
      <c r="B5" s="76" t="str">
        <f t="shared" si="0"/>
        <v>Show</v>
      </c>
      <c r="C5" s="109" t="s">
        <v>1414</v>
      </c>
      <c r="E5" s="101" t="s">
        <v>36</v>
      </c>
      <c r="F5" s="112" t="s">
        <v>1175</v>
      </c>
      <c r="K5" s="101" t="s">
        <v>43</v>
      </c>
      <c r="L5" s="104"/>
      <c r="M5" s="111">
        <f>ROUND(SUM(O26:O29),0)</f>
        <v>500</v>
      </c>
    </row>
    <row r="6" spans="1:26" ht="18" customHeight="1" x14ac:dyDescent="0.25">
      <c r="B6" s="76" t="str">
        <f t="shared" si="0"/>
        <v>Show</v>
      </c>
      <c r="C6" s="109" t="s">
        <v>1415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ROUND(COUNT(O26:O29),0)</f>
        <v>3</v>
      </c>
      <c r="P6" s="101"/>
      <c r="W6" s="101" t="str">
        <f>"ESTIMATED "&amp;O25&amp;"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E16</f>
        <v>A108014|A108014|A108248|A108014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F16</f>
        <v>ITPN-207441|ITPN-207442|ITPN-207462|ITPN-207441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B15</f>
        <v>Show</v>
      </c>
      <c r="C12" s="74" t="s">
        <v>1416</v>
      </c>
      <c r="E12" s="74" t="s">
        <v>1400</v>
      </c>
      <c r="F12" s="74" t="s">
        <v>1408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4" si="1">B16</f>
        <v>Show</v>
      </c>
      <c r="C13" s="74" t="str">
        <f>"""Ceres NTFB Live"",""NTFB Live"",""5766"",""1"",""Invt. Pick"",""2"",""ITPN-207442"""</f>
        <v>"Ceres NTFB Live","NTFB Live","5766","1","Invt. Pick","2","ITPN-207442"</v>
      </c>
      <c r="E13" s="74" t="s">
        <v>1400</v>
      </c>
      <c r="F13" s="74" t="s">
        <v>1409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Pick"",""2"",""ITPN-207462"""</f>
        <v>"Ceres NTFB Live","NTFB Live","5766","1","Invt. Pick","2","ITPN-207462"</v>
      </c>
      <c r="E14" s="74" t="s">
        <v>1410</v>
      </c>
      <c r="F14" s="74" t="s">
        <v>1411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ref="B15:B25" si="2">B16</f>
        <v>Show</v>
      </c>
      <c r="C15" s="74" t="s">
        <v>1400</v>
      </c>
      <c r="E15" s="74" t="str">
        <f>E12</f>
        <v>A108014</v>
      </c>
      <c r="F15" s="74" t="str">
        <f>F12</f>
        <v>ITPN-207441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6</v>
      </c>
      <c r="B16" s="76" t="str">
        <f t="shared" si="2"/>
        <v>Show</v>
      </c>
      <c r="E16" s="92" t="s">
        <v>1412</v>
      </c>
      <c r="F16" s="92" t="s">
        <v>1413</v>
      </c>
      <c r="I16" s="98"/>
      <c r="J16" s="98"/>
      <c r="K16" s="98"/>
      <c r="L16" s="98"/>
      <c r="M16" s="98"/>
    </row>
    <row r="17" spans="1:17" x14ac:dyDescent="0.25">
      <c r="B17" s="76" t="str">
        <f t="shared" si="2"/>
        <v>Show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x14ac:dyDescent="0.25">
      <c r="B18" s="76" t="str">
        <f t="shared" si="2"/>
        <v>Show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thickBot="1" x14ac:dyDescent="0.3">
      <c r="B19" s="76" t="str">
        <f t="shared" si="2"/>
        <v>Show</v>
      </c>
      <c r="F19" s="190"/>
      <c r="G19" s="191"/>
      <c r="H19" s="191"/>
      <c r="I19" s="191"/>
      <c r="J19" s="191"/>
      <c r="K19" s="191"/>
      <c r="L19" s="191"/>
      <c r="M19" s="192"/>
    </row>
    <row r="20" spans="1:17" x14ac:dyDescent="0.25">
      <c r="B20" s="76" t="str">
        <f t="shared" si="2"/>
        <v>Show</v>
      </c>
    </row>
    <row r="21" spans="1:17" x14ac:dyDescent="0.25">
      <c r="B21" s="76" t="str">
        <f t="shared" si="2"/>
        <v>Show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x14ac:dyDescent="0.25">
      <c r="B22" s="76" t="str">
        <f t="shared" si="2"/>
        <v>Show</v>
      </c>
      <c r="E22" s="101"/>
    </row>
    <row r="23" spans="1:17" x14ac:dyDescent="0.25">
      <c r="B23" s="76" t="str">
        <f t="shared" si="2"/>
        <v>Show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x14ac:dyDescent="0.25">
      <c r="B24" s="76" t="str">
        <f t="shared" si="2"/>
        <v>Show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customHeight="1" x14ac:dyDescent="0.25">
      <c r="A25" s="97"/>
      <c r="B25" s="76" t="str">
        <f t="shared" si="2"/>
        <v>Show</v>
      </c>
      <c r="C25" s="96" t="s">
        <v>79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customHeight="1" x14ac:dyDescent="0.25">
      <c r="B26" s="92" t="str">
        <f>IF(I26="","Hide","Show")</f>
        <v>Show</v>
      </c>
      <c r="C26" s="74" t="s">
        <v>1417</v>
      </c>
      <c r="D26" s="89" t="s">
        <v>1278</v>
      </c>
      <c r="E26" s="89" t="s">
        <v>1279</v>
      </c>
      <c r="F26" s="89" t="s">
        <v>738</v>
      </c>
      <c r="G26" s="91" t="s">
        <v>1401</v>
      </c>
      <c r="H26" s="90" t="s">
        <v>739</v>
      </c>
      <c r="I26" s="89">
        <v>6</v>
      </c>
      <c r="J26" s="89" t="s">
        <v>286</v>
      </c>
      <c r="K26" s="88"/>
      <c r="L26" s="87"/>
      <c r="M26" s="87"/>
      <c r="N26" s="85" t="s">
        <v>179</v>
      </c>
      <c r="O26" s="85">
        <v>108</v>
      </c>
      <c r="P26" s="85" t="s">
        <v>183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ref="B27:B28" si="3">IF(I27="","Hide","Show")</f>
        <v>Show</v>
      </c>
      <c r="C27" s="74" t="str">
        <f>"""Ceres NTFB Live"",""NTFB Live"",""5767"",""1"",""Invt. Pick"",""2"",""ITPN-207441"",""3"",""20000"""</f>
        <v>"Ceres NTFB Live","NTFB Live","5767","1","Invt. Pick","2","ITPN-207441","3","20000"</v>
      </c>
      <c r="D27" s="89" t="s">
        <v>745</v>
      </c>
      <c r="E27" s="89" t="s">
        <v>1402</v>
      </c>
      <c r="F27" s="89" t="s">
        <v>1403</v>
      </c>
      <c r="G27" s="91" t="s">
        <v>1404</v>
      </c>
      <c r="H27" s="90" t="s">
        <v>1405</v>
      </c>
      <c r="I27" s="89">
        <v>8</v>
      </c>
      <c r="J27" s="89" t="s">
        <v>286</v>
      </c>
      <c r="K27" s="88"/>
      <c r="L27" s="87"/>
      <c r="M27" s="87"/>
      <c r="N27" s="85" t="s">
        <v>179</v>
      </c>
      <c r="O27" s="85">
        <v>192</v>
      </c>
      <c r="P27" s="85" t="s">
        <v>742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3"/>
        <v>Show</v>
      </c>
      <c r="C28" s="74" t="str">
        <f>"""Ceres NTFB Live"",""NTFB Live"",""5767"",""1"",""Invt. Pick"",""2"",""ITPN-207441"",""3"",""40000"""</f>
        <v>"Ceres NTFB Live","NTFB Live","5767","1","Invt. Pick","2","ITPN-207441","3","40000"</v>
      </c>
      <c r="D28" s="89" t="s">
        <v>1406</v>
      </c>
      <c r="E28" s="89" t="s">
        <v>1407</v>
      </c>
      <c r="F28" s="89" t="s">
        <v>751</v>
      </c>
      <c r="G28" s="91" t="s">
        <v>1404</v>
      </c>
      <c r="H28" s="90" t="s">
        <v>752</v>
      </c>
      <c r="I28" s="89">
        <v>8</v>
      </c>
      <c r="J28" s="89" t="s">
        <v>286</v>
      </c>
      <c r="K28" s="88"/>
      <c r="L28" s="87"/>
      <c r="M28" s="87"/>
      <c r="N28" s="85" t="s">
        <v>179</v>
      </c>
      <c r="O28" s="85">
        <v>200</v>
      </c>
      <c r="P28" s="85" t="s">
        <v>742</v>
      </c>
      <c r="Q28" s="86" t="s">
        <v>56</v>
      </c>
    </row>
    <row r="29" spans="1:17" ht="15.75" thickBot="1" x14ac:dyDescent="0.3">
      <c r="B29" s="74" t="str">
        <f>B26</f>
        <v>Show</v>
      </c>
      <c r="H29" s="85"/>
      <c r="I29" s="85"/>
    </row>
    <row r="30" spans="1:17" ht="15.75" thickBot="1" x14ac:dyDescent="0.3">
      <c r="B30" s="74" t="str">
        <f>+B29</f>
        <v>Show</v>
      </c>
      <c r="D30" s="193" t="str">
        <f>+"END OF "&amp;D2</f>
        <v>END OF FBC ALLEN FOOD PANTRY  (026077P) - DRY|DRYUSDA|MCTF PICK LIST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DELIVER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026077P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FBC ALLEN FOOD PANTRY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1400</v>
      </c>
      <c r="G36" s="174"/>
      <c r="H36" s="174"/>
      <c r="I36" s="174"/>
      <c r="J36" s="174"/>
      <c r="K36" s="174"/>
      <c r="L36" s="174"/>
      <c r="M36" s="175"/>
    </row>
    <row r="37" spans="1:16" ht="30" hidden="1" customHeight="1" x14ac:dyDescent="0.25">
      <c r="A37" s="76" t="s">
        <v>184</v>
      </c>
      <c r="D37" s="80"/>
      <c r="E37" s="78"/>
      <c r="F37" s="174" t="str">
        <f>"A108248"</f>
        <v>A108248</v>
      </c>
      <c r="G37" s="174"/>
      <c r="H37" s="174"/>
      <c r="I37" s="174"/>
      <c r="J37" s="174"/>
      <c r="K37" s="174"/>
      <c r="L37" s="174"/>
      <c r="M37" s="175"/>
    </row>
    <row r="38" spans="1:16" ht="15.75" hidden="1" customHeight="1" thickBot="1" x14ac:dyDescent="0.3">
      <c r="A38" s="76" t="s">
        <v>19</v>
      </c>
      <c r="D38" s="80"/>
      <c r="E38" s="78"/>
      <c r="F38" s="78"/>
      <c r="G38" s="79"/>
      <c r="H38" s="78"/>
      <c r="I38" s="78"/>
      <c r="J38" s="78"/>
      <c r="K38" s="78"/>
      <c r="L38" s="78"/>
      <c r="M38" s="77"/>
    </row>
    <row r="39" spans="1:16" ht="36.75" x14ac:dyDescent="0.45">
      <c r="A39" s="76" t="s">
        <v>30</v>
      </c>
      <c r="D39" s="176" t="s">
        <v>50</v>
      </c>
      <c r="E39" s="177"/>
      <c r="F39" s="178">
        <f>+F7</f>
        <v>42612</v>
      </c>
      <c r="G39" s="179"/>
      <c r="H39" s="179"/>
      <c r="I39" s="179"/>
      <c r="J39" s="179"/>
      <c r="K39" s="179"/>
      <c r="L39" s="179"/>
      <c r="M39" s="180"/>
    </row>
    <row r="40" spans="1:16" ht="37.5" thickBot="1" x14ac:dyDescent="0.5">
      <c r="A40" s="76" t="s">
        <v>30</v>
      </c>
      <c r="D40" s="158" t="s">
        <v>32</v>
      </c>
      <c r="E40" s="159"/>
      <c r="F40" s="160"/>
      <c r="G40" s="161"/>
      <c r="H40" s="161"/>
      <c r="I40" s="161"/>
      <c r="J40" s="161"/>
      <c r="K40" s="161"/>
      <c r="L40" s="161"/>
      <c r="M40" s="162"/>
    </row>
    <row r="41" spans="1:16" ht="80.099999999999994" customHeight="1" thickBot="1" x14ac:dyDescent="0.3">
      <c r="A41" s="76" t="s">
        <v>30</v>
      </c>
      <c r="D41" s="163" t="s">
        <v>51</v>
      </c>
      <c r="E41" s="164"/>
      <c r="F41" s="164"/>
      <c r="G41" s="164"/>
      <c r="H41" s="164"/>
      <c r="I41" s="164"/>
      <c r="J41" s="164"/>
      <c r="K41" s="164"/>
      <c r="L41" s="164"/>
      <c r="M41" s="165"/>
    </row>
    <row r="42" spans="1:16" ht="90" customHeight="1" thickBot="1" x14ac:dyDescent="0.3">
      <c r="A42" s="76" t="s">
        <v>30</v>
      </c>
      <c r="D42" s="166" t="str">
        <f>IF(F6="DELIVER",G6,F6)</f>
        <v>COLLIN 1</v>
      </c>
      <c r="E42" s="167"/>
      <c r="F42" s="167"/>
      <c r="G42" s="167"/>
      <c r="H42" s="167"/>
      <c r="I42" s="167"/>
      <c r="J42" s="167"/>
      <c r="K42" s="167"/>
      <c r="L42" s="167"/>
      <c r="M42" s="168"/>
    </row>
    <row r="43" spans="1:16" ht="60" customHeight="1" thickBot="1" x14ac:dyDescent="0.3">
      <c r="A43" s="76" t="s">
        <v>30</v>
      </c>
      <c r="D43" s="169" t="s">
        <v>55</v>
      </c>
      <c r="E43" s="170"/>
      <c r="F43" s="170"/>
      <c r="G43" s="170"/>
      <c r="H43" s="170"/>
      <c r="I43" s="170"/>
      <c r="J43" s="170"/>
      <c r="K43" s="170"/>
      <c r="L43" s="170"/>
      <c r="M43" s="171"/>
    </row>
  </sheetData>
  <mergeCells count="18">
    <mergeCell ref="D39:E39"/>
    <mergeCell ref="F39:M39"/>
    <mergeCell ref="D2:M2"/>
    <mergeCell ref="F17:M19"/>
    <mergeCell ref="D30:M30"/>
    <mergeCell ref="D32:M32"/>
    <mergeCell ref="D33:E33"/>
    <mergeCell ref="F33:M33"/>
    <mergeCell ref="F37:M37"/>
    <mergeCell ref="D34:E34"/>
    <mergeCell ref="F34:M34"/>
    <mergeCell ref="D35:E35"/>
    <mergeCell ref="F36:M36"/>
    <mergeCell ref="D40:E40"/>
    <mergeCell ref="F40:M40"/>
    <mergeCell ref="D41:M41"/>
    <mergeCell ref="D42:M42"/>
    <mergeCell ref="D43:M43"/>
  </mergeCells>
  <conditionalFormatting sqref="F6">
    <cfRule type="cellIs" dxfId="394" priority="5" operator="equal">
      <formula>"DELIVER"</formula>
    </cfRule>
  </conditionalFormatting>
  <conditionalFormatting sqref="D32">
    <cfRule type="cellIs" dxfId="393" priority="4" operator="equal">
      <formula>"DELIVER"</formula>
    </cfRule>
  </conditionalFormatting>
  <conditionalFormatting sqref="D2:M2">
    <cfRule type="expression" dxfId="392" priority="3">
      <formula>$F$6="DELIVER"</formula>
    </cfRule>
  </conditionalFormatting>
  <conditionalFormatting sqref="G6">
    <cfRule type="expression" dxfId="391" priority="2">
      <formula>$F$6="DELIVER"</formula>
    </cfRule>
  </conditionalFormatting>
  <conditionalFormatting sqref="D42">
    <cfRule type="expression" dxfId="39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1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1617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DIVINE INSPIRATION MISSIONARY  (026284P)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"026284P"</f>
        <v>026284P</v>
      </c>
      <c r="E4" s="101" t="s">
        <v>37</v>
      </c>
      <c r="F4" s="105" t="str">
        <f>C4</f>
        <v>026284P</v>
      </c>
      <c r="K4" s="101" t="s">
        <v>42</v>
      </c>
      <c r="L4" s="104"/>
      <c r="M4" s="111">
        <f>SUM(I25:I28)</f>
        <v>7</v>
      </c>
    </row>
    <row r="5" spans="1:26" ht="18" customHeight="1" x14ac:dyDescent="0.25">
      <c r="B5" s="76" t="str">
        <f t="shared" si="0"/>
        <v>Show</v>
      </c>
      <c r="C5" s="109" t="s">
        <v>1427</v>
      </c>
      <c r="E5" s="101" t="s">
        <v>36</v>
      </c>
      <c r="F5" s="112" t="s">
        <v>1186</v>
      </c>
      <c r="K5" s="101" t="s">
        <v>43</v>
      </c>
      <c r="L5" s="104"/>
      <c r="M5" s="111">
        <f>ROUND(SUM(O25:O28),0)</f>
        <v>166</v>
      </c>
    </row>
    <row r="6" spans="1:26" ht="18" customHeight="1" x14ac:dyDescent="0.25">
      <c r="B6" s="76" t="str">
        <f t="shared" si="0"/>
        <v>Show</v>
      </c>
      <c r="C6" s="109" t="s">
        <v>1428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ROUND(COUNT(O25:O28),0)</f>
        <v>3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A108361|A108361|A108361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ITPN-207486|ITPN-207487|ITPN-207486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1427</v>
      </c>
      <c r="E12" s="74" t="s">
        <v>1418</v>
      </c>
      <c r="F12" s="74" t="s">
        <v>1423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Pick"",""2"",""ITPN-207487"""</f>
        <v>"Ceres NTFB Live","NTFB Live","5766","1","Invt. Pick","2","ITPN-207487"</v>
      </c>
      <c r="E13" s="74" t="s">
        <v>1418</v>
      </c>
      <c r="F13" s="74" t="s">
        <v>1424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1418</v>
      </c>
      <c r="E14" s="74" t="str">
        <f>E12</f>
        <v>A108361</v>
      </c>
      <c r="F14" s="74" t="str">
        <f>F12</f>
        <v>ITPN-207486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1425</v>
      </c>
      <c r="F15" s="92" t="s">
        <v>1426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96" t="s">
        <v>79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1429</v>
      </c>
      <c r="D25" s="89" t="s">
        <v>1419</v>
      </c>
      <c r="E25" s="89" t="s">
        <v>1420</v>
      </c>
      <c r="F25" s="89" t="s">
        <v>740</v>
      </c>
      <c r="G25" s="91" t="s">
        <v>1421</v>
      </c>
      <c r="H25" s="90" t="s">
        <v>741</v>
      </c>
      <c r="I25" s="89">
        <v>2</v>
      </c>
      <c r="J25" s="89" t="s">
        <v>286</v>
      </c>
      <c r="K25" s="88"/>
      <c r="L25" s="87"/>
      <c r="M25" s="87"/>
      <c r="N25" s="85" t="s">
        <v>179</v>
      </c>
      <c r="O25" s="85">
        <v>30</v>
      </c>
      <c r="P25" s="85" t="s">
        <v>183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27" si="2">IF(I26="","Hide","Show")</f>
        <v>Show</v>
      </c>
      <c r="C26" s="74" t="str">
        <f>"""Ceres NTFB Live"",""NTFB Live"",""5767"",""1"",""Invt. Pick"",""2"",""ITPN-207487"",""3"",""31000"""</f>
        <v>"Ceres NTFB Live","NTFB Live","5767","1","Invt. Pick","2","ITPN-207487","3","31000"</v>
      </c>
      <c r="D26" s="89" t="s">
        <v>1339</v>
      </c>
      <c r="E26" s="89" t="s">
        <v>1340</v>
      </c>
      <c r="F26" s="89" t="s">
        <v>1287</v>
      </c>
      <c r="G26" s="91" t="s">
        <v>1422</v>
      </c>
      <c r="H26" s="90" t="s">
        <v>1288</v>
      </c>
      <c r="I26" s="89">
        <v>3</v>
      </c>
      <c r="J26" s="89" t="s">
        <v>286</v>
      </c>
      <c r="K26" s="88"/>
      <c r="L26" s="87"/>
      <c r="M26" s="87"/>
      <c r="N26" s="85" t="s">
        <v>179</v>
      </c>
      <c r="O26" s="85">
        <v>84</v>
      </c>
      <c r="P26" s="85" t="s">
        <v>742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2"/>
        <v>Show</v>
      </c>
      <c r="C27" s="74" t="str">
        <f>"""Ceres NTFB Live"",""NTFB Live"",""5767"",""1"",""Invt. Pick"",""2"",""ITPN-207487"",""3"",""40000"""</f>
        <v>"Ceres NTFB Live","NTFB Live","5767","1","Invt. Pick","2","ITPN-207487","3","40000"</v>
      </c>
      <c r="D27" s="89" t="s">
        <v>748</v>
      </c>
      <c r="E27" s="89" t="s">
        <v>1390</v>
      </c>
      <c r="F27" s="89" t="s">
        <v>1344</v>
      </c>
      <c r="G27" s="91" t="s">
        <v>1422</v>
      </c>
      <c r="H27" s="90" t="s">
        <v>1345</v>
      </c>
      <c r="I27" s="89">
        <v>2</v>
      </c>
      <c r="J27" s="89" t="s">
        <v>286</v>
      </c>
      <c r="K27" s="88"/>
      <c r="L27" s="87"/>
      <c r="M27" s="87"/>
      <c r="N27" s="85" t="s">
        <v>179</v>
      </c>
      <c r="O27" s="85">
        <v>52</v>
      </c>
      <c r="P27" s="85" t="s">
        <v>742</v>
      </c>
      <c r="Q27" s="86" t="s">
        <v>56</v>
      </c>
    </row>
    <row r="28" spans="1:17" ht="15.75" thickBot="1" x14ac:dyDescent="0.3">
      <c r="B28" s="74" t="str">
        <f>B25</f>
        <v>Show</v>
      </c>
      <c r="H28" s="85"/>
      <c r="I28" s="85"/>
    </row>
    <row r="29" spans="1:17" ht="15.75" thickBot="1" x14ac:dyDescent="0.3">
      <c r="B29" s="74" t="str">
        <f>+B28</f>
        <v>Show</v>
      </c>
      <c r="D29" s="193" t="str">
        <f>+"END OF "&amp;D2</f>
        <v>END OF DIVINE INSPIRATION MISSIONARY  (026284P) - DRY|DRYUSDA|MCTF PICK LIST</v>
      </c>
      <c r="E29" s="194"/>
      <c r="F29" s="194"/>
      <c r="G29" s="194"/>
      <c r="H29" s="194"/>
      <c r="I29" s="194"/>
      <c r="J29" s="194"/>
      <c r="K29" s="194"/>
      <c r="L29" s="194"/>
      <c r="M29" s="195"/>
    </row>
    <row r="30" spans="1:17" ht="15.75" thickBot="1" x14ac:dyDescent="0.3"/>
    <row r="31" spans="1:17" ht="80.099999999999994" customHeight="1" thickBot="1" x14ac:dyDescent="0.3">
      <c r="A31" s="76" t="s">
        <v>30</v>
      </c>
      <c r="D31" s="166" t="str">
        <f>+F6</f>
        <v>PICKUP</v>
      </c>
      <c r="E31" s="167"/>
      <c r="F31" s="167"/>
      <c r="G31" s="167"/>
      <c r="H31" s="167"/>
      <c r="I31" s="167"/>
      <c r="J31" s="167"/>
      <c r="K31" s="167"/>
      <c r="L31" s="167"/>
      <c r="M31" s="168"/>
    </row>
    <row r="32" spans="1:17" ht="36.75" x14ac:dyDescent="0.45">
      <c r="A32" s="76" t="s">
        <v>30</v>
      </c>
      <c r="D32" s="176" t="s">
        <v>12</v>
      </c>
      <c r="E32" s="177"/>
      <c r="F32" s="196" t="str">
        <f>+F4</f>
        <v>026284P</v>
      </c>
      <c r="G32" s="196"/>
      <c r="H32" s="196"/>
      <c r="I32" s="196"/>
      <c r="J32" s="196"/>
      <c r="K32" s="196"/>
      <c r="L32" s="196"/>
      <c r="M32" s="197"/>
    </row>
    <row r="33" spans="1:16" ht="37.5" customHeight="1" thickBot="1" x14ac:dyDescent="0.5">
      <c r="A33" s="76" t="s">
        <v>30</v>
      </c>
      <c r="D33" s="158" t="s">
        <v>5</v>
      </c>
      <c r="E33" s="159"/>
      <c r="F33" s="161" t="str">
        <f>+F5</f>
        <v>DIVINE INSPIRATION MISSIONARY</v>
      </c>
      <c r="G33" s="161"/>
      <c r="H33" s="161"/>
      <c r="I33" s="161"/>
      <c r="J33" s="161"/>
      <c r="K33" s="161"/>
      <c r="L33" s="161"/>
      <c r="M33" s="162"/>
      <c r="N33" s="84"/>
      <c r="O33" s="84"/>
      <c r="P33" s="84"/>
    </row>
    <row r="34" spans="1:16" ht="33.75" hidden="1" thickBot="1" x14ac:dyDescent="0.45">
      <c r="A34" s="76" t="s">
        <v>19</v>
      </c>
      <c r="D34" s="172" t="s">
        <v>49</v>
      </c>
      <c r="E34" s="173"/>
      <c r="F34" s="82"/>
      <c r="G34" s="83"/>
      <c r="H34" s="82"/>
      <c r="I34" s="82"/>
      <c r="J34" s="82"/>
      <c r="K34" s="82"/>
      <c r="L34" s="82"/>
      <c r="M34" s="81"/>
    </row>
    <row r="35" spans="1:16" ht="30" hidden="1" customHeight="1" x14ac:dyDescent="0.25">
      <c r="A35" s="76" t="s">
        <v>19</v>
      </c>
      <c r="D35" s="80"/>
      <c r="E35" s="78"/>
      <c r="F35" s="174" t="s">
        <v>1418</v>
      </c>
      <c r="G35" s="174"/>
      <c r="H35" s="174"/>
      <c r="I35" s="174"/>
      <c r="J35" s="174"/>
      <c r="K35" s="174"/>
      <c r="L35" s="174"/>
      <c r="M35" s="175"/>
    </row>
    <row r="36" spans="1:16" ht="15.75" hidden="1" customHeight="1" thickBot="1" x14ac:dyDescent="0.3">
      <c r="A36" s="76" t="s">
        <v>19</v>
      </c>
      <c r="D36" s="80"/>
      <c r="E36" s="78"/>
      <c r="F36" s="78"/>
      <c r="G36" s="79"/>
      <c r="H36" s="78"/>
      <c r="I36" s="78"/>
      <c r="J36" s="78"/>
      <c r="K36" s="78"/>
      <c r="L36" s="78"/>
      <c r="M36" s="77"/>
    </row>
    <row r="37" spans="1:16" ht="36.75" x14ac:dyDescent="0.45">
      <c r="A37" s="76" t="s">
        <v>30</v>
      </c>
      <c r="D37" s="176" t="s">
        <v>50</v>
      </c>
      <c r="E37" s="177"/>
      <c r="F37" s="178">
        <f>+F7</f>
        <v>42612</v>
      </c>
      <c r="G37" s="179"/>
      <c r="H37" s="179"/>
      <c r="I37" s="179"/>
      <c r="J37" s="179"/>
      <c r="K37" s="179"/>
      <c r="L37" s="179"/>
      <c r="M37" s="180"/>
    </row>
    <row r="38" spans="1:16" ht="37.5" thickBot="1" x14ac:dyDescent="0.5">
      <c r="A38" s="76" t="s">
        <v>30</v>
      </c>
      <c r="D38" s="158" t="s">
        <v>32</v>
      </c>
      <c r="E38" s="159"/>
      <c r="F38" s="160"/>
      <c r="G38" s="161"/>
      <c r="H38" s="161"/>
      <c r="I38" s="161"/>
      <c r="J38" s="161"/>
      <c r="K38" s="161"/>
      <c r="L38" s="161"/>
      <c r="M38" s="162"/>
    </row>
    <row r="39" spans="1:16" ht="80.099999999999994" customHeight="1" thickBot="1" x14ac:dyDescent="0.3">
      <c r="A39" s="76" t="s">
        <v>30</v>
      </c>
      <c r="D39" s="163" t="s">
        <v>51</v>
      </c>
      <c r="E39" s="164"/>
      <c r="F39" s="164"/>
      <c r="G39" s="164"/>
      <c r="H39" s="164"/>
      <c r="I39" s="164"/>
      <c r="J39" s="164"/>
      <c r="K39" s="164"/>
      <c r="L39" s="164"/>
      <c r="M39" s="165"/>
    </row>
    <row r="40" spans="1:16" ht="90" customHeight="1" thickBot="1" x14ac:dyDescent="0.3">
      <c r="A40" s="76" t="s">
        <v>30</v>
      </c>
      <c r="D40" s="166" t="str">
        <f>IF(F6="DELIVER",G6,F6)</f>
        <v>PICKUP</v>
      </c>
      <c r="E40" s="167"/>
      <c r="F40" s="167"/>
      <c r="G40" s="167"/>
      <c r="H40" s="167"/>
      <c r="I40" s="167"/>
      <c r="J40" s="167"/>
      <c r="K40" s="167"/>
      <c r="L40" s="167"/>
      <c r="M40" s="168"/>
    </row>
    <row r="41" spans="1:16" ht="60" customHeight="1" thickBot="1" x14ac:dyDescent="0.3">
      <c r="A41" s="76" t="s">
        <v>30</v>
      </c>
      <c r="D41" s="169" t="s">
        <v>55</v>
      </c>
      <c r="E41" s="170"/>
      <c r="F41" s="170"/>
      <c r="G41" s="170"/>
      <c r="H41" s="170"/>
      <c r="I41" s="170"/>
      <c r="J41" s="170"/>
      <c r="K41" s="170"/>
      <c r="L41" s="170"/>
      <c r="M41" s="171"/>
    </row>
  </sheetData>
  <mergeCells count="17">
    <mergeCell ref="D2:M2"/>
    <mergeCell ref="F16:M18"/>
    <mergeCell ref="D29:M29"/>
    <mergeCell ref="D31:M31"/>
    <mergeCell ref="D32:E32"/>
    <mergeCell ref="F32:M32"/>
    <mergeCell ref="D33:E33"/>
    <mergeCell ref="F33:M33"/>
    <mergeCell ref="D34:E34"/>
    <mergeCell ref="F35:M35"/>
    <mergeCell ref="D37:E37"/>
    <mergeCell ref="F37:M37"/>
    <mergeCell ref="D38:E38"/>
    <mergeCell ref="F38:M38"/>
    <mergeCell ref="D39:M39"/>
    <mergeCell ref="D40:M40"/>
    <mergeCell ref="D41:M41"/>
  </mergeCells>
  <conditionalFormatting sqref="F6">
    <cfRule type="cellIs" dxfId="389" priority="5" operator="equal">
      <formula>"DELIVER"</formula>
    </cfRule>
  </conditionalFormatting>
  <conditionalFormatting sqref="D31">
    <cfRule type="cellIs" dxfId="388" priority="4" operator="equal">
      <formula>"DELIVER"</formula>
    </cfRule>
  </conditionalFormatting>
  <conditionalFormatting sqref="D2:M2">
    <cfRule type="expression" dxfId="387" priority="3">
      <formula>$F$6="DELIVER"</formula>
    </cfRule>
  </conditionalFormatting>
  <conditionalFormatting sqref="G6">
    <cfRule type="expression" dxfId="386" priority="2">
      <formula>$F$6="DELIVER"</formula>
    </cfRule>
  </conditionalFormatting>
  <conditionalFormatting sqref="D40">
    <cfRule type="expression" dxfId="38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9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1619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CARVER HEIGHTS BAPTIST CHURCH  (026392P)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"026392P"</f>
        <v>026392P</v>
      </c>
      <c r="E4" s="101" t="s">
        <v>37</v>
      </c>
      <c r="F4" s="105" t="str">
        <f>C4</f>
        <v>026392P</v>
      </c>
      <c r="K4" s="101" t="s">
        <v>42</v>
      </c>
      <c r="L4" s="104"/>
      <c r="M4" s="111">
        <f>SUM(I25:I28)</f>
        <v>55</v>
      </c>
    </row>
    <row r="5" spans="1:26" ht="18" customHeight="1" x14ac:dyDescent="0.25">
      <c r="B5" s="76" t="str">
        <f t="shared" si="0"/>
        <v>Show</v>
      </c>
      <c r="C5" s="109" t="s">
        <v>1445</v>
      </c>
      <c r="E5" s="101" t="s">
        <v>36</v>
      </c>
      <c r="F5" s="112" t="s">
        <v>731</v>
      </c>
      <c r="K5" s="101" t="s">
        <v>43</v>
      </c>
      <c r="L5" s="104"/>
      <c r="M5" s="111">
        <f>ROUND(SUM(O25:O28),0)</f>
        <v>1832</v>
      </c>
    </row>
    <row r="6" spans="1:26" ht="18" customHeight="1" x14ac:dyDescent="0.25">
      <c r="B6" s="76" t="str">
        <f t="shared" si="0"/>
        <v>Show</v>
      </c>
      <c r="C6" s="109" t="s">
        <v>755</v>
      </c>
      <c r="E6" s="101" t="s">
        <v>38</v>
      </c>
      <c r="F6" s="105" t="s">
        <v>60</v>
      </c>
      <c r="G6" s="110" t="s">
        <v>179</v>
      </c>
      <c r="I6" s="109"/>
      <c r="J6" s="109"/>
      <c r="K6" s="108" t="s">
        <v>58</v>
      </c>
      <c r="L6" s="108"/>
      <c r="M6" s="107">
        <f>ROUND(COUNT(O25:O28),0)</f>
        <v>3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A108405|A108487|A108405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ITPN-207498|ITPN-207510|ITPN-207498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1445</v>
      </c>
      <c r="E12" s="74" t="s">
        <v>1430</v>
      </c>
      <c r="F12" s="74" t="s">
        <v>1440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Pick"",""2"",""ITPN-207510"""</f>
        <v>"Ceres NTFB Live","NTFB Live","5766","1","Invt. Pick","2","ITPN-207510"</v>
      </c>
      <c r="E13" s="74" t="s">
        <v>1441</v>
      </c>
      <c r="F13" s="74" t="s">
        <v>1442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1430</v>
      </c>
      <c r="E14" s="74" t="str">
        <f>E12</f>
        <v>A108405</v>
      </c>
      <c r="F14" s="74" t="str">
        <f>F12</f>
        <v>ITPN-207498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1443</v>
      </c>
      <c r="F15" s="92" t="s">
        <v>1444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96" t="s">
        <v>79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1446</v>
      </c>
      <c r="D25" s="89" t="s">
        <v>1431</v>
      </c>
      <c r="E25" s="89" t="s">
        <v>1432</v>
      </c>
      <c r="F25" s="89" t="s">
        <v>1433</v>
      </c>
      <c r="G25" s="91" t="s">
        <v>1434</v>
      </c>
      <c r="H25" s="90" t="s">
        <v>1435</v>
      </c>
      <c r="I25" s="89">
        <v>39</v>
      </c>
      <c r="J25" s="89" t="s">
        <v>286</v>
      </c>
      <c r="K25" s="88"/>
      <c r="L25" s="87"/>
      <c r="M25" s="87"/>
      <c r="N25" s="85" t="s">
        <v>179</v>
      </c>
      <c r="O25" s="85">
        <v>1443</v>
      </c>
      <c r="P25" s="85" t="s">
        <v>183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27" si="2">IF(I26="","Hide","Show")</f>
        <v>Show</v>
      </c>
      <c r="C26" s="74" t="str">
        <f>"""Ceres NTFB Live"",""NTFB Live"",""5767"",""1"",""Invt. Pick"",""2"",""ITPN-207498"",""3"",""20000"""</f>
        <v>"Ceres NTFB Live","NTFB Live","5767","1","Invt. Pick","2","ITPN-207498","3","20000"</v>
      </c>
      <c r="D26" s="89" t="s">
        <v>758</v>
      </c>
      <c r="E26" s="89" t="s">
        <v>1436</v>
      </c>
      <c r="F26" s="89" t="s">
        <v>753</v>
      </c>
      <c r="G26" s="91" t="s">
        <v>1437</v>
      </c>
      <c r="H26" s="90" t="s">
        <v>754</v>
      </c>
      <c r="I26" s="89">
        <v>7</v>
      </c>
      <c r="J26" s="89" t="s">
        <v>286</v>
      </c>
      <c r="K26" s="88"/>
      <c r="L26" s="87"/>
      <c r="M26" s="87"/>
      <c r="N26" s="85" t="s">
        <v>179</v>
      </c>
      <c r="O26" s="85">
        <v>56</v>
      </c>
      <c r="P26" s="85" t="s">
        <v>183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2"/>
        <v>Show</v>
      </c>
      <c r="C27" s="74" t="str">
        <f>"""Ceres NTFB Live"",""NTFB Live"",""5767"",""1"",""Invt. Pick"",""2"",""ITPN-207510"",""3"",""30000"""</f>
        <v>"Ceres NTFB Live","NTFB Live","5767","1","Invt. Pick","2","ITPN-207510","3","30000"</v>
      </c>
      <c r="D27" s="89" t="s">
        <v>1438</v>
      </c>
      <c r="E27" s="89" t="s">
        <v>1439</v>
      </c>
      <c r="F27" s="89" t="s">
        <v>1433</v>
      </c>
      <c r="G27" s="91" t="s">
        <v>1434</v>
      </c>
      <c r="H27" s="90" t="s">
        <v>1435</v>
      </c>
      <c r="I27" s="89">
        <v>9</v>
      </c>
      <c r="J27" s="89" t="s">
        <v>286</v>
      </c>
      <c r="K27" s="88"/>
      <c r="L27" s="87"/>
      <c r="M27" s="87"/>
      <c r="N27" s="85" t="s">
        <v>179</v>
      </c>
      <c r="O27" s="85">
        <v>333</v>
      </c>
      <c r="P27" s="85" t="s">
        <v>183</v>
      </c>
      <c r="Q27" s="86" t="s">
        <v>56</v>
      </c>
    </row>
    <row r="28" spans="1:17" ht="15.75" thickBot="1" x14ac:dyDescent="0.3">
      <c r="B28" s="74" t="str">
        <f>B25</f>
        <v>Show</v>
      </c>
      <c r="H28" s="85"/>
      <c r="I28" s="85"/>
    </row>
    <row r="29" spans="1:17" ht="15.75" thickBot="1" x14ac:dyDescent="0.3">
      <c r="B29" s="74" t="str">
        <f>+B28</f>
        <v>Show</v>
      </c>
      <c r="D29" s="193" t="str">
        <f>+"END OF "&amp;D2</f>
        <v>END OF CARVER HEIGHTS BAPTIST CHURCH  (026392P) - DRY|DRYUSDA|MCTF PICK LIST</v>
      </c>
      <c r="E29" s="194"/>
      <c r="F29" s="194"/>
      <c r="G29" s="194"/>
      <c r="H29" s="194"/>
      <c r="I29" s="194"/>
      <c r="J29" s="194"/>
      <c r="K29" s="194"/>
      <c r="L29" s="194"/>
      <c r="M29" s="195"/>
    </row>
    <row r="30" spans="1:17" ht="15.75" thickBot="1" x14ac:dyDescent="0.3"/>
    <row r="31" spans="1:17" ht="80.099999999999994" customHeight="1" thickBot="1" x14ac:dyDescent="0.3">
      <c r="A31" s="76" t="s">
        <v>30</v>
      </c>
      <c r="D31" s="166" t="str">
        <f>+F6</f>
        <v>DELIVER</v>
      </c>
      <c r="E31" s="167"/>
      <c r="F31" s="167"/>
      <c r="G31" s="167"/>
      <c r="H31" s="167"/>
      <c r="I31" s="167"/>
      <c r="J31" s="167"/>
      <c r="K31" s="167"/>
      <c r="L31" s="167"/>
      <c r="M31" s="168"/>
    </row>
    <row r="32" spans="1:17" ht="36.75" x14ac:dyDescent="0.45">
      <c r="A32" s="76" t="s">
        <v>30</v>
      </c>
      <c r="D32" s="176" t="s">
        <v>12</v>
      </c>
      <c r="E32" s="177"/>
      <c r="F32" s="196" t="str">
        <f>+F4</f>
        <v>026392P</v>
      </c>
      <c r="G32" s="196"/>
      <c r="H32" s="196"/>
      <c r="I32" s="196"/>
      <c r="J32" s="196"/>
      <c r="K32" s="196"/>
      <c r="L32" s="196"/>
      <c r="M32" s="197"/>
    </row>
    <row r="33" spans="1:16" ht="37.5" customHeight="1" thickBot="1" x14ac:dyDescent="0.5">
      <c r="A33" s="76" t="s">
        <v>30</v>
      </c>
      <c r="D33" s="158" t="s">
        <v>5</v>
      </c>
      <c r="E33" s="159"/>
      <c r="F33" s="161" t="str">
        <f>+F5</f>
        <v>CARVER HEIGHTS BAPTIST CHURCH</v>
      </c>
      <c r="G33" s="161"/>
      <c r="H33" s="161"/>
      <c r="I33" s="161"/>
      <c r="J33" s="161"/>
      <c r="K33" s="161"/>
      <c r="L33" s="161"/>
      <c r="M33" s="162"/>
      <c r="N33" s="84"/>
      <c r="O33" s="84"/>
      <c r="P33" s="84"/>
    </row>
    <row r="34" spans="1:16" ht="33.75" hidden="1" thickBot="1" x14ac:dyDescent="0.45">
      <c r="A34" s="76" t="s">
        <v>19</v>
      </c>
      <c r="D34" s="172" t="s">
        <v>49</v>
      </c>
      <c r="E34" s="173"/>
      <c r="F34" s="82"/>
      <c r="G34" s="83"/>
      <c r="H34" s="82"/>
      <c r="I34" s="82"/>
      <c r="J34" s="82"/>
      <c r="K34" s="82"/>
      <c r="L34" s="82"/>
      <c r="M34" s="81"/>
    </row>
    <row r="35" spans="1:16" ht="30" hidden="1" customHeight="1" x14ac:dyDescent="0.25">
      <c r="A35" s="76" t="s">
        <v>19</v>
      </c>
      <c r="D35" s="80"/>
      <c r="E35" s="78"/>
      <c r="F35" s="174" t="s">
        <v>1430</v>
      </c>
      <c r="G35" s="174"/>
      <c r="H35" s="174"/>
      <c r="I35" s="174"/>
      <c r="J35" s="174"/>
      <c r="K35" s="174"/>
      <c r="L35" s="174"/>
      <c r="M35" s="175"/>
    </row>
    <row r="36" spans="1:16" ht="30" hidden="1" customHeight="1" x14ac:dyDescent="0.25">
      <c r="A36" s="76" t="s">
        <v>184</v>
      </c>
      <c r="D36" s="80"/>
      <c r="E36" s="78"/>
      <c r="F36" s="174" t="str">
        <f>"A108487"</f>
        <v>A108487</v>
      </c>
      <c r="G36" s="174"/>
      <c r="H36" s="174"/>
      <c r="I36" s="174"/>
      <c r="J36" s="174"/>
      <c r="K36" s="174"/>
      <c r="L36" s="174"/>
      <c r="M36" s="175"/>
    </row>
    <row r="37" spans="1:16" ht="15.75" hidden="1" customHeight="1" thickBot="1" x14ac:dyDescent="0.3">
      <c r="A37" s="76" t="s">
        <v>19</v>
      </c>
      <c r="D37" s="80"/>
      <c r="E37" s="78"/>
      <c r="F37" s="78"/>
      <c r="G37" s="79"/>
      <c r="H37" s="78"/>
      <c r="I37" s="78"/>
      <c r="J37" s="78"/>
      <c r="K37" s="78"/>
      <c r="L37" s="78"/>
      <c r="M37" s="77"/>
    </row>
    <row r="38" spans="1:16" ht="36.75" x14ac:dyDescent="0.45">
      <c r="A38" s="76" t="s">
        <v>30</v>
      </c>
      <c r="D38" s="176" t="s">
        <v>50</v>
      </c>
      <c r="E38" s="177"/>
      <c r="F38" s="178">
        <f>+F7</f>
        <v>42612</v>
      </c>
      <c r="G38" s="179"/>
      <c r="H38" s="179"/>
      <c r="I38" s="179"/>
      <c r="J38" s="179"/>
      <c r="K38" s="179"/>
      <c r="L38" s="179"/>
      <c r="M38" s="180"/>
    </row>
    <row r="39" spans="1:16" ht="37.5" thickBot="1" x14ac:dyDescent="0.5">
      <c r="A39" s="76" t="s">
        <v>30</v>
      </c>
      <c r="D39" s="158" t="s">
        <v>32</v>
      </c>
      <c r="E39" s="159"/>
      <c r="F39" s="160"/>
      <c r="G39" s="161"/>
      <c r="H39" s="161"/>
      <c r="I39" s="161"/>
      <c r="J39" s="161"/>
      <c r="K39" s="161"/>
      <c r="L39" s="161"/>
      <c r="M39" s="162"/>
    </row>
    <row r="40" spans="1:16" ht="80.099999999999994" customHeight="1" thickBot="1" x14ac:dyDescent="0.3">
      <c r="A40" s="76" t="s">
        <v>30</v>
      </c>
      <c r="D40" s="163" t="s">
        <v>51</v>
      </c>
      <c r="E40" s="164"/>
      <c r="F40" s="164"/>
      <c r="G40" s="164"/>
      <c r="H40" s="164"/>
      <c r="I40" s="164"/>
      <c r="J40" s="164"/>
      <c r="K40" s="164"/>
      <c r="L40" s="164"/>
      <c r="M40" s="165"/>
    </row>
    <row r="41" spans="1:16" ht="90" customHeight="1" thickBot="1" x14ac:dyDescent="0.3">
      <c r="A41" s="76" t="s">
        <v>30</v>
      </c>
      <c r="D41" s="166" t="str">
        <f>IF(F6="DELIVER",G6,F6)</f>
        <v/>
      </c>
      <c r="E41" s="167"/>
      <c r="F41" s="167"/>
      <c r="G41" s="167"/>
      <c r="H41" s="167"/>
      <c r="I41" s="167"/>
      <c r="J41" s="167"/>
      <c r="K41" s="167"/>
      <c r="L41" s="167"/>
      <c r="M41" s="168"/>
    </row>
    <row r="42" spans="1:16" ht="60" customHeight="1" thickBot="1" x14ac:dyDescent="0.3">
      <c r="A42" s="76" t="s">
        <v>30</v>
      </c>
      <c r="D42" s="169" t="s">
        <v>55</v>
      </c>
      <c r="E42" s="170"/>
      <c r="F42" s="170"/>
      <c r="G42" s="170"/>
      <c r="H42" s="170"/>
      <c r="I42" s="170"/>
      <c r="J42" s="170"/>
      <c r="K42" s="170"/>
      <c r="L42" s="170"/>
      <c r="M42" s="171"/>
    </row>
  </sheetData>
  <mergeCells count="18">
    <mergeCell ref="D38:E38"/>
    <mergeCell ref="F38:M38"/>
    <mergeCell ref="D2:M2"/>
    <mergeCell ref="F16:M18"/>
    <mergeCell ref="D29:M29"/>
    <mergeCell ref="D31:M31"/>
    <mergeCell ref="D32:E32"/>
    <mergeCell ref="F32:M32"/>
    <mergeCell ref="F36:M36"/>
    <mergeCell ref="D33:E33"/>
    <mergeCell ref="F33:M33"/>
    <mergeCell ref="D34:E34"/>
    <mergeCell ref="F35:M35"/>
    <mergeCell ref="D39:E39"/>
    <mergeCell ref="F39:M39"/>
    <mergeCell ref="D40:M40"/>
    <mergeCell ref="D41:M41"/>
    <mergeCell ref="D42:M42"/>
  </mergeCells>
  <conditionalFormatting sqref="F6">
    <cfRule type="cellIs" dxfId="384" priority="5" operator="equal">
      <formula>"DELIVER"</formula>
    </cfRule>
  </conditionalFormatting>
  <conditionalFormatting sqref="D31">
    <cfRule type="cellIs" dxfId="383" priority="4" operator="equal">
      <formula>"DELIVER"</formula>
    </cfRule>
  </conditionalFormatting>
  <conditionalFormatting sqref="D2:M2">
    <cfRule type="expression" dxfId="382" priority="3">
      <formula>$F$6="DELIVER"</formula>
    </cfRule>
  </conditionalFormatting>
  <conditionalFormatting sqref="G6">
    <cfRule type="expression" dxfId="381" priority="2">
      <formula>$F$6="DELIVER"</formula>
    </cfRule>
  </conditionalFormatting>
  <conditionalFormatting sqref="D41">
    <cfRule type="expression" dxfId="38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9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1621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/>
      </c>
      <c r="C2" s="74" t="s">
        <v>7</v>
      </c>
      <c r="D2" s="181" t="str">
        <f>IF(E28="",F5&amp;"  ("&amp;F4&amp;") - NO "&amp;C27,F5&amp;"  ("&amp;F4&amp;") - "&amp;C27&amp;" PICK LIST")</f>
        <v>LIFESOURCE MINISTRIES  (026508P)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"026508P"</f>
        <v>026508P</v>
      </c>
      <c r="E4" s="101" t="s">
        <v>37</v>
      </c>
      <c r="F4" s="105" t="str">
        <f>C4</f>
        <v>026508P</v>
      </c>
      <c r="K4" s="101" t="s">
        <v>42</v>
      </c>
      <c r="L4" s="104"/>
      <c r="M4" s="111">
        <f>SUM(I28:I38)</f>
        <v>46</v>
      </c>
    </row>
    <row r="5" spans="1:26" ht="18" customHeight="1" x14ac:dyDescent="0.25">
      <c r="B5" s="76" t="str">
        <f t="shared" si="0"/>
        <v>Show</v>
      </c>
      <c r="C5" s="109" t="s">
        <v>1447</v>
      </c>
      <c r="E5" s="101" t="s">
        <v>36</v>
      </c>
      <c r="F5" s="112" t="s">
        <v>1176</v>
      </c>
      <c r="K5" s="101" t="s">
        <v>43</v>
      </c>
      <c r="L5" s="104"/>
      <c r="M5" s="111">
        <f>ROUND(SUM(O28:O38),0)</f>
        <v>773</v>
      </c>
    </row>
    <row r="6" spans="1:26" ht="18" customHeight="1" x14ac:dyDescent="0.25">
      <c r="B6" s="76" t="str">
        <f t="shared" si="0"/>
        <v>Show</v>
      </c>
      <c r="C6" s="109" t="s">
        <v>1448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ROUND(COUNT(O28:O38),0)</f>
        <v>10</v>
      </c>
      <c r="P6" s="101"/>
      <c r="W6" s="101" t="str">
        <f>"ESTIMATED "&amp;O27&amp;"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E18</f>
        <v>A107897|A107899|A108201|A108323|A108323|A107897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F18</f>
        <v>ITPN-207430|ITPN-207431|ITPN-207451|ITPN-207467|ITPN-207468|ITPN-207430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B17</f>
        <v>Show</v>
      </c>
      <c r="C12" s="74" t="s">
        <v>1447</v>
      </c>
      <c r="E12" s="74" t="str">
        <f>"A107897"</f>
        <v>A107897</v>
      </c>
      <c r="F12" s="74" t="str">
        <f>"ITPN-207430"</f>
        <v>ITPN-207430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6" si="1">B18</f>
        <v>Show</v>
      </c>
      <c r="C13" s="74" t="str">
        <f>"""Ceres NTFB Live"",""NTFB Live"",""5766"",""1"",""Invt. Pick"",""2"",""ITPN-207431"""</f>
        <v>"Ceres NTFB Live","NTFB Live","5766","1","Invt. Pick","2","ITPN-207431"</v>
      </c>
      <c r="E13" s="74" t="str">
        <f>"A107899"</f>
        <v>A107899</v>
      </c>
      <c r="F13" s="74" t="str">
        <f>"ITPN-207431"</f>
        <v>ITPN-207431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Pick"",""2"",""ITPN-207451"""</f>
        <v>"Ceres NTFB Live","NTFB Live","5766","1","Invt. Pick","2","ITPN-207451"</v>
      </c>
      <c r="E14" s="74" t="str">
        <f>"A108201"</f>
        <v>A108201</v>
      </c>
      <c r="F14" s="74" t="str">
        <f>"ITPN-207451"</f>
        <v>ITPN-207451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173</v>
      </c>
      <c r="B15" s="76" t="str">
        <f t="shared" si="1"/>
        <v>Show</v>
      </c>
      <c r="C15" s="74" t="str">
        <f>"""Ceres NTFB Live"",""NTFB Live"",""5766"",""1"",""Invt. Pick"",""2"",""ITPN-207467"""</f>
        <v>"Ceres NTFB Live","NTFB Live","5766","1","Invt. Pick","2","ITPN-207467"</v>
      </c>
      <c r="E15" s="74" t="str">
        <f>"A108323"</f>
        <v>A108323</v>
      </c>
      <c r="F15" s="74" t="str">
        <f>"ITPN-207467"</f>
        <v>ITPN-207467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173</v>
      </c>
      <c r="B16" s="76" t="str">
        <f t="shared" si="1"/>
        <v>Show</v>
      </c>
      <c r="C16" s="74" t="str">
        <f>"""Ceres NTFB Live"",""NTFB Live"",""5766"",""1"",""Invt. Pick"",""2"",""ITPN-207468"""</f>
        <v>"Ceres NTFB Live","NTFB Live","5766","1","Invt. Pick","2","ITPN-207468"</v>
      </c>
      <c r="E16" s="74" t="str">
        <f>"A108323"</f>
        <v>A108323</v>
      </c>
      <c r="F16" s="74" t="str">
        <f>"ITPN-207468"</f>
        <v>ITPN-207468</v>
      </c>
      <c r="I16" s="98"/>
      <c r="J16" s="98"/>
      <c r="K16" s="98"/>
      <c r="L16" s="98"/>
      <c r="M16" s="98"/>
    </row>
    <row r="17" spans="1:17" ht="15.75" hidden="1" thickBot="1" x14ac:dyDescent="0.3">
      <c r="A17" s="74" t="s">
        <v>6</v>
      </c>
      <c r="B17" s="76" t="str">
        <f t="shared" ref="B17:B27" si="2">B18</f>
        <v>Show</v>
      </c>
      <c r="C17" s="74" t="s">
        <v>1452</v>
      </c>
      <c r="E17" s="74" t="str">
        <f>E12</f>
        <v>A107897</v>
      </c>
      <c r="F17" s="74" t="str">
        <f>F12</f>
        <v>ITPN-207430</v>
      </c>
      <c r="I17" s="98"/>
      <c r="J17" s="98"/>
      <c r="K17" s="98"/>
      <c r="L17" s="98"/>
      <c r="M17" s="98"/>
    </row>
    <row r="18" spans="1:17" ht="15.75" hidden="1" thickBot="1" x14ac:dyDescent="0.3">
      <c r="A18" s="74" t="s">
        <v>6</v>
      </c>
      <c r="B18" s="76" t="str">
        <f t="shared" si="2"/>
        <v>Show</v>
      </c>
      <c r="E18" s="92" t="s">
        <v>1451</v>
      </c>
      <c r="F18" s="92" t="s">
        <v>1449</v>
      </c>
      <c r="I18" s="98"/>
      <c r="J18" s="98"/>
      <c r="K18" s="98"/>
      <c r="L18" s="98"/>
      <c r="M18" s="98"/>
    </row>
    <row r="19" spans="1:17" x14ac:dyDescent="0.25">
      <c r="B19" s="76" t="str">
        <f t="shared" si="2"/>
        <v>Show</v>
      </c>
      <c r="E19" s="101" t="s">
        <v>20</v>
      </c>
      <c r="F19" s="184" t="s">
        <v>1450</v>
      </c>
      <c r="G19" s="185"/>
      <c r="H19" s="185"/>
      <c r="I19" s="185"/>
      <c r="J19" s="185"/>
      <c r="K19" s="185"/>
      <c r="L19" s="185"/>
      <c r="M19" s="186"/>
    </row>
    <row r="20" spans="1:17" x14ac:dyDescent="0.25">
      <c r="B20" s="76" t="str">
        <f t="shared" si="2"/>
        <v>Show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thickBot="1" x14ac:dyDescent="0.3">
      <c r="B21" s="76" t="str">
        <f t="shared" si="2"/>
        <v>Show</v>
      </c>
      <c r="F21" s="190"/>
      <c r="G21" s="191"/>
      <c r="H21" s="191"/>
      <c r="I21" s="191"/>
      <c r="J21" s="191"/>
      <c r="K21" s="191"/>
      <c r="L21" s="191"/>
      <c r="M21" s="192"/>
    </row>
    <row r="22" spans="1:17" x14ac:dyDescent="0.25">
      <c r="B22" s="76" t="str">
        <f t="shared" si="2"/>
        <v>Show</v>
      </c>
    </row>
    <row r="23" spans="1:17" x14ac:dyDescent="0.25">
      <c r="B23" s="76" t="str">
        <f t="shared" si="2"/>
        <v>Show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x14ac:dyDescent="0.25">
      <c r="B24" s="76" t="str">
        <f t="shared" si="2"/>
        <v>Show</v>
      </c>
      <c r="E24" s="101"/>
    </row>
    <row r="25" spans="1:17" x14ac:dyDescent="0.25">
      <c r="B25" s="76" t="str">
        <f t="shared" si="2"/>
        <v>Show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x14ac:dyDescent="0.25">
      <c r="B26" s="76" t="str">
        <f t="shared" si="2"/>
        <v>Show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customHeight="1" x14ac:dyDescent="0.25">
      <c r="A27" s="97"/>
      <c r="B27" s="76" t="str">
        <f t="shared" si="2"/>
        <v>Show</v>
      </c>
      <c r="C27" s="96" t="s">
        <v>79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customHeight="1" x14ac:dyDescent="0.25">
      <c r="B28" s="92" t="str">
        <f>IF(I28="","Hide","Show")</f>
        <v>Show</v>
      </c>
      <c r="C28" s="74" t="s">
        <v>1458</v>
      </c>
      <c r="D28" s="89" t="str">
        <f>"02-43-01"</f>
        <v>02-43-01</v>
      </c>
      <c r="E28" s="89" t="str">
        <f>"P00161455"</f>
        <v>P00161455</v>
      </c>
      <c r="F28" s="89" t="str">
        <f>"1000000503"</f>
        <v>1000000503</v>
      </c>
      <c r="G28" s="91" t="s">
        <v>1453</v>
      </c>
      <c r="H28" s="90" t="str">
        <f>"GREEN BEANS, ASSORTED CANNED"</f>
        <v>GREEN BEANS, ASSORTED CANNED</v>
      </c>
      <c r="I28" s="89">
        <v>3</v>
      </c>
      <c r="J28" s="89" t="str">
        <f t="shared" ref="J28:J37" si="3">"CS"</f>
        <v>CS</v>
      </c>
      <c r="K28" s="88"/>
      <c r="L28" s="87"/>
      <c r="M28" s="87"/>
      <c r="N28" s="85" t="s">
        <v>179</v>
      </c>
      <c r="O28" s="85">
        <v>66</v>
      </c>
      <c r="P28" s="85" t="str">
        <f t="shared" ref="P28:P35" si="4">"DRY"</f>
        <v>DRY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ref="B29:B37" si="5">IF(I29="","Hide","Show")</f>
        <v>Show</v>
      </c>
      <c r="C29" s="74" t="str">
        <f>"""Ceres NTFB Live"",""NTFB Live"",""5767"",""1"",""Invt. Pick"",""2"",""ITPN-207468"",""3"",""31000"""</f>
        <v>"Ceres NTFB Live","NTFB Live","5767","1","Invt. Pick","2","ITPN-207468","3","31000"</v>
      </c>
      <c r="D29" s="89" t="str">
        <f>"02-49-01"</f>
        <v>02-49-01</v>
      </c>
      <c r="E29" s="89" t="str">
        <f>"P00188288"</f>
        <v>P00188288</v>
      </c>
      <c r="F29" s="89" t="str">
        <f>"1000003541"</f>
        <v>1000003541</v>
      </c>
      <c r="G29" s="91" t="s">
        <v>1453</v>
      </c>
      <c r="H29" s="90" t="str">
        <f>"ENSURE, MILK CHOCOLATE"</f>
        <v>ENSURE, MILK CHOCOLATE</v>
      </c>
      <c r="I29" s="89">
        <v>10</v>
      </c>
      <c r="J29" s="89" t="str">
        <f t="shared" si="3"/>
        <v>CS</v>
      </c>
      <c r="K29" s="88"/>
      <c r="L29" s="87"/>
      <c r="M29" s="87"/>
      <c r="N29" s="85" t="s">
        <v>179</v>
      </c>
      <c r="O29" s="85">
        <v>80</v>
      </c>
      <c r="P29" s="85" t="str">
        <f t="shared" si="4"/>
        <v>DRY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5"/>
        <v>Show</v>
      </c>
      <c r="C30" s="74" t="str">
        <f>"""Ceres NTFB Live"",""NTFB Live"",""5767"",""1"",""Invt. Pick"",""2"",""ITPN-207431"",""3"",""20000"""</f>
        <v>"Ceres NTFB Live","NTFB Live","5767","1","Invt. Pick","2","ITPN-207431","3","20000"</v>
      </c>
      <c r="D30" s="89" t="str">
        <f>"03-25-01"</f>
        <v>03-25-01</v>
      </c>
      <c r="E30" s="89" t="str">
        <f>"P00188419"</f>
        <v>P00188419</v>
      </c>
      <c r="F30" s="89" t="str">
        <f>"1000003554"</f>
        <v>1000003554</v>
      </c>
      <c r="G30" s="91" t="s">
        <v>1454</v>
      </c>
      <c r="H30" s="90" t="str">
        <f>"RICE, LONG GRAIN, PRE COOKED"</f>
        <v>RICE, LONG GRAIN, PRE COOKED</v>
      </c>
      <c r="I30" s="89">
        <v>5</v>
      </c>
      <c r="J30" s="89" t="str">
        <f t="shared" si="3"/>
        <v>CS</v>
      </c>
      <c r="K30" s="88"/>
      <c r="L30" s="87"/>
      <c r="M30" s="87"/>
      <c r="N30" s="85" t="s">
        <v>179</v>
      </c>
      <c r="O30" s="85">
        <v>65</v>
      </c>
      <c r="P30" s="85" t="str">
        <f t="shared" si="4"/>
        <v>DRY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si="5"/>
        <v>Show</v>
      </c>
      <c r="C31" s="74" t="str">
        <f>"""Ceres NTFB Live"",""NTFB Live"",""5767"",""1"",""Invt. Pick"",""2"",""ITPN-207431"",""3"",""60000"""</f>
        <v>"Ceres NTFB Live","NTFB Live","5767","1","Invt. Pick","2","ITPN-207431","3","60000"</v>
      </c>
      <c r="D31" s="89" t="str">
        <f>"03-33-01"</f>
        <v>03-33-01</v>
      </c>
      <c r="E31" s="89" t="str">
        <f>"P00193875"</f>
        <v>P00193875</v>
      </c>
      <c r="F31" s="89" t="str">
        <f>"1000002429"</f>
        <v>1000002429</v>
      </c>
      <c r="G31" s="91" t="s">
        <v>1454</v>
      </c>
      <c r="H31" s="90" t="str">
        <f>"SPAGHETTIO'S"</f>
        <v>SPAGHETTIO'S</v>
      </c>
      <c r="I31" s="89">
        <v>4</v>
      </c>
      <c r="J31" s="89" t="str">
        <f t="shared" si="3"/>
        <v>CS</v>
      </c>
      <c r="K31" s="88"/>
      <c r="L31" s="87"/>
      <c r="M31" s="87"/>
      <c r="N31" s="85" t="s">
        <v>179</v>
      </c>
      <c r="O31" s="85">
        <v>8</v>
      </c>
      <c r="P31" s="85" t="str">
        <f t="shared" si="4"/>
        <v>DRY</v>
      </c>
      <c r="Q31" s="86" t="s">
        <v>56</v>
      </c>
    </row>
    <row r="32" spans="1:17" ht="24.95" customHeight="1" x14ac:dyDescent="0.25">
      <c r="A32" s="74" t="s">
        <v>174</v>
      </c>
      <c r="B32" s="92" t="str">
        <f t="shared" si="5"/>
        <v>Show</v>
      </c>
      <c r="C32" s="74" t="str">
        <f>"""Ceres NTFB Live"",""NTFB Live"",""5767"",""1"",""Invt. Pick"",""2"",""ITPN-207430"",""3"",""20000"""</f>
        <v>"Ceres NTFB Live","NTFB Live","5767","1","Invt. Pick","2","ITPN-207430","3","20000"</v>
      </c>
      <c r="D32" s="89" t="str">
        <f>"04-27-01"</f>
        <v>04-27-01</v>
      </c>
      <c r="E32" s="89" t="str">
        <f>"P00193738"</f>
        <v>P00193738</v>
      </c>
      <c r="F32" s="89" t="str">
        <f>"1000002472"</f>
        <v>1000002472</v>
      </c>
      <c r="G32" s="91" t="s">
        <v>1455</v>
      </c>
      <c r="H32" s="90" t="str">
        <f>"SAUCE, TURKEY GRAVY, CAMPBELL"</f>
        <v>SAUCE, TURKEY GRAVY, CAMPBELL</v>
      </c>
      <c r="I32" s="89">
        <v>11</v>
      </c>
      <c r="J32" s="89" t="str">
        <f t="shared" si="3"/>
        <v>CS</v>
      </c>
      <c r="K32" s="88"/>
      <c r="L32" s="87"/>
      <c r="M32" s="87"/>
      <c r="N32" s="85" t="s">
        <v>179</v>
      </c>
      <c r="O32" s="85">
        <v>275</v>
      </c>
      <c r="P32" s="85" t="str">
        <f t="shared" si="4"/>
        <v>DRY</v>
      </c>
      <c r="Q32" s="86" t="s">
        <v>56</v>
      </c>
    </row>
    <row r="33" spans="1:17" ht="24.95" customHeight="1" x14ac:dyDescent="0.25">
      <c r="A33" s="74" t="s">
        <v>174</v>
      </c>
      <c r="B33" s="92" t="str">
        <f t="shared" si="5"/>
        <v>Show</v>
      </c>
      <c r="C33" s="74" t="str">
        <f>"""Ceres NTFB Live"",""NTFB Live"",""5767"",""1"",""Invt. Pick"",""2"",""ITPN-207431"",""3"",""40000"""</f>
        <v>"Ceres NTFB Live","NTFB Live","5767","1","Invt. Pick","2","ITPN-207431","3","40000"</v>
      </c>
      <c r="D33" s="89" t="str">
        <f>"04-29-01"</f>
        <v>04-29-01</v>
      </c>
      <c r="E33" s="89" t="str">
        <f>"P00193737"</f>
        <v>P00193737</v>
      </c>
      <c r="F33" s="89" t="str">
        <f>"1000000814"</f>
        <v>1000000814</v>
      </c>
      <c r="G33" s="91" t="s">
        <v>1454</v>
      </c>
      <c r="H33" s="90" t="str">
        <f>"SOUP, TOMATO"</f>
        <v>SOUP, TOMATO</v>
      </c>
      <c r="I33" s="89">
        <v>4</v>
      </c>
      <c r="J33" s="89" t="str">
        <f t="shared" si="3"/>
        <v>CS</v>
      </c>
      <c r="K33" s="88"/>
      <c r="L33" s="87"/>
      <c r="M33" s="87"/>
      <c r="N33" s="85" t="s">
        <v>179</v>
      </c>
      <c r="O33" s="85">
        <v>72</v>
      </c>
      <c r="P33" s="85" t="str">
        <f t="shared" si="4"/>
        <v>DRY</v>
      </c>
      <c r="Q33" s="86" t="s">
        <v>56</v>
      </c>
    </row>
    <row r="34" spans="1:17" ht="24.95" customHeight="1" x14ac:dyDescent="0.25">
      <c r="A34" s="74" t="s">
        <v>174</v>
      </c>
      <c r="B34" s="92" t="str">
        <f t="shared" si="5"/>
        <v>Show</v>
      </c>
      <c r="C34" s="74" t="str">
        <f>"""Ceres NTFB Live"",""NTFB Live"",""5767"",""1"",""Invt. Pick"",""2"",""ITPN-207451"",""3"",""30000"""</f>
        <v>"Ceres NTFB Live","NTFB Live","5767","1","Invt. Pick","2","ITPN-207451","3","30000"</v>
      </c>
      <c r="D34" s="89" t="str">
        <f>"06-25-01"</f>
        <v>06-25-01</v>
      </c>
      <c r="E34" s="89" t="str">
        <f>"P00194650"</f>
        <v>P00194650</v>
      </c>
      <c r="F34" s="89" t="str">
        <f>"1000000429"</f>
        <v>1000000429</v>
      </c>
      <c r="G34" s="91" t="s">
        <v>1456</v>
      </c>
      <c r="H34" s="90" t="str">
        <f>"USDA CEREAL, CORNFLAKES (449)"</f>
        <v>USDA CEREAL, CORNFLAKES (449)</v>
      </c>
      <c r="I34" s="89">
        <v>1</v>
      </c>
      <c r="J34" s="89" t="str">
        <f t="shared" si="3"/>
        <v>CS</v>
      </c>
      <c r="K34" s="88"/>
      <c r="L34" s="87"/>
      <c r="M34" s="87"/>
      <c r="N34" s="85" t="s">
        <v>179</v>
      </c>
      <c r="O34" s="85">
        <v>15</v>
      </c>
      <c r="P34" s="85" t="str">
        <f t="shared" si="4"/>
        <v>DRY</v>
      </c>
      <c r="Q34" s="86" t="s">
        <v>56</v>
      </c>
    </row>
    <row r="35" spans="1:17" ht="24.95" customHeight="1" x14ac:dyDescent="0.25">
      <c r="A35" s="74" t="s">
        <v>174</v>
      </c>
      <c r="B35" s="92" t="str">
        <f t="shared" si="5"/>
        <v>Show</v>
      </c>
      <c r="C35" s="74" t="str">
        <f>"""Ceres NTFB Live"",""NTFB Live"",""5767"",""1"",""Invt. Pick"",""2"",""ITPN-207451"",""3"",""10000"""</f>
        <v>"Ceres NTFB Live","NTFB Live","5767","1","Invt. Pick","2","ITPN-207451","3","10000"</v>
      </c>
      <c r="D35" s="89" t="str">
        <f>"06-30-01"</f>
        <v>06-30-01</v>
      </c>
      <c r="E35" s="89" t="str">
        <f>"P00194649"</f>
        <v>P00194649</v>
      </c>
      <c r="F35" s="89" t="str">
        <f>"1000000429"</f>
        <v>1000000429</v>
      </c>
      <c r="G35" s="91" t="s">
        <v>1456</v>
      </c>
      <c r="H35" s="90" t="str">
        <f>"USDA CEREAL, CORNFLAKES (449)"</f>
        <v>USDA CEREAL, CORNFLAKES (449)</v>
      </c>
      <c r="I35" s="89">
        <v>2</v>
      </c>
      <c r="J35" s="89" t="str">
        <f t="shared" si="3"/>
        <v>CS</v>
      </c>
      <c r="K35" s="88"/>
      <c r="L35" s="87"/>
      <c r="M35" s="87"/>
      <c r="N35" s="85" t="s">
        <v>179</v>
      </c>
      <c r="O35" s="85">
        <v>30</v>
      </c>
      <c r="P35" s="85" t="str">
        <f t="shared" si="4"/>
        <v>DRY</v>
      </c>
      <c r="Q35" s="86" t="s">
        <v>56</v>
      </c>
    </row>
    <row r="36" spans="1:17" ht="24.95" customHeight="1" x14ac:dyDescent="0.25">
      <c r="A36" s="74" t="s">
        <v>174</v>
      </c>
      <c r="B36" s="92" t="str">
        <f t="shared" si="5"/>
        <v>Show</v>
      </c>
      <c r="C36" s="74" t="str">
        <f>"""Ceres NTFB Live"",""NTFB Live"",""5767"",""1"",""Invt. Pick"",""2"",""ITPN-207467"",""3"",""60000"""</f>
        <v>"Ceres NTFB Live","NTFB Live","5767","1","Invt. Pick","2","ITPN-207467","3","60000"</v>
      </c>
      <c r="D36" s="89" t="str">
        <f>"33-01-01"</f>
        <v>33-01-01</v>
      </c>
      <c r="E36" s="89" t="str">
        <f>"P00195102"</f>
        <v>P00195102</v>
      </c>
      <c r="F36" s="89" t="str">
        <f>"1000002518"</f>
        <v>1000002518</v>
      </c>
      <c r="G36" s="91" t="s">
        <v>1457</v>
      </c>
      <c r="H36" s="90" t="str">
        <f>"USDA CORN, KERNAL, CANNED"</f>
        <v>USDA CORN, KERNAL, CANNED</v>
      </c>
      <c r="I36" s="89">
        <v>3</v>
      </c>
      <c r="J36" s="89" t="str">
        <f t="shared" si="3"/>
        <v>CS</v>
      </c>
      <c r="K36" s="88"/>
      <c r="L36" s="87"/>
      <c r="M36" s="87"/>
      <c r="N36" s="85" t="s">
        <v>179</v>
      </c>
      <c r="O36" s="85">
        <v>84</v>
      </c>
      <c r="P36" s="85" t="str">
        <f>"DRYUSDA"</f>
        <v>DRYUSDA</v>
      </c>
      <c r="Q36" s="86" t="s">
        <v>56</v>
      </c>
    </row>
    <row r="37" spans="1:17" ht="24.95" customHeight="1" x14ac:dyDescent="0.25">
      <c r="A37" s="74" t="s">
        <v>174</v>
      </c>
      <c r="B37" s="92" t="str">
        <f t="shared" si="5"/>
        <v>Show</v>
      </c>
      <c r="C37" s="74" t="str">
        <f>"""Ceres NTFB Live"",""NTFB Live"",""5767"",""1"",""Invt. Pick"",""2"",""ITPN-207467"",""3"",""20000"""</f>
        <v>"Ceres NTFB Live","NTFB Live","5767","1","Invt. Pick","2","ITPN-207467","3","20000"</v>
      </c>
      <c r="D37" s="89" t="str">
        <f>"33-10-01"</f>
        <v>33-10-01</v>
      </c>
      <c r="E37" s="89" t="str">
        <f>"P00195179"</f>
        <v>P00195179</v>
      </c>
      <c r="F37" s="89" t="str">
        <f>"1000000135"</f>
        <v>1000000135</v>
      </c>
      <c r="G37" s="91" t="s">
        <v>1457</v>
      </c>
      <c r="H37" s="90" t="str">
        <f>"USDA SWEET PEAS, CANNED"</f>
        <v>USDA SWEET PEAS, CANNED</v>
      </c>
      <c r="I37" s="89">
        <v>3</v>
      </c>
      <c r="J37" s="89" t="str">
        <f t="shared" si="3"/>
        <v>CS</v>
      </c>
      <c r="K37" s="88"/>
      <c r="L37" s="87"/>
      <c r="M37" s="87"/>
      <c r="N37" s="85" t="s">
        <v>179</v>
      </c>
      <c r="O37" s="85">
        <v>78</v>
      </c>
      <c r="P37" s="85" t="str">
        <f>"DRYUSDA"</f>
        <v>DRYUSDA</v>
      </c>
      <c r="Q37" s="86" t="s">
        <v>56</v>
      </c>
    </row>
    <row r="38" spans="1:17" ht="15.75" thickBot="1" x14ac:dyDescent="0.3">
      <c r="B38" s="74" t="str">
        <f>B28</f>
        <v>Show</v>
      </c>
      <c r="H38" s="85"/>
      <c r="I38" s="85"/>
    </row>
    <row r="39" spans="1:17" ht="15.75" thickBot="1" x14ac:dyDescent="0.3">
      <c r="B39" s="74" t="str">
        <f>+B38</f>
        <v>Show</v>
      </c>
      <c r="D39" s="193" t="str">
        <f>+"END OF "&amp;D2</f>
        <v>END OF LIFESOURCE MINISTRIES  (026508P) - DRY|DRYUSDA|MCTF PICK LIST</v>
      </c>
      <c r="E39" s="194"/>
      <c r="F39" s="194"/>
      <c r="G39" s="194"/>
      <c r="H39" s="194"/>
      <c r="I39" s="194"/>
      <c r="J39" s="194"/>
      <c r="K39" s="194"/>
      <c r="L39" s="194"/>
      <c r="M39" s="195"/>
    </row>
    <row r="40" spans="1:17" ht="15.75" thickBot="1" x14ac:dyDescent="0.3"/>
    <row r="41" spans="1:17" ht="80.099999999999994" customHeight="1" thickBot="1" x14ac:dyDescent="0.3">
      <c r="A41" s="76" t="s">
        <v>30</v>
      </c>
      <c r="D41" s="166" t="str">
        <f>+F6</f>
        <v>DELIVER</v>
      </c>
      <c r="E41" s="167"/>
      <c r="F41" s="167"/>
      <c r="G41" s="167"/>
      <c r="H41" s="167"/>
      <c r="I41" s="167"/>
      <c r="J41" s="167"/>
      <c r="K41" s="167"/>
      <c r="L41" s="167"/>
      <c r="M41" s="168"/>
    </row>
    <row r="42" spans="1:17" ht="36.75" x14ac:dyDescent="0.45">
      <c r="A42" s="76" t="s">
        <v>30</v>
      </c>
      <c r="D42" s="176" t="s">
        <v>12</v>
      </c>
      <c r="E42" s="177"/>
      <c r="F42" s="196" t="str">
        <f>+F4</f>
        <v>026508P</v>
      </c>
      <c r="G42" s="196"/>
      <c r="H42" s="196"/>
      <c r="I42" s="196"/>
      <c r="J42" s="196"/>
      <c r="K42" s="196"/>
      <c r="L42" s="196"/>
      <c r="M42" s="197"/>
    </row>
    <row r="43" spans="1:17" ht="37.5" customHeight="1" thickBot="1" x14ac:dyDescent="0.5">
      <c r="A43" s="76" t="s">
        <v>30</v>
      </c>
      <c r="D43" s="158" t="s">
        <v>5</v>
      </c>
      <c r="E43" s="159"/>
      <c r="F43" s="161" t="str">
        <f>+F5</f>
        <v>LIFESOURCE MINISTRIES</v>
      </c>
      <c r="G43" s="161"/>
      <c r="H43" s="161"/>
      <c r="I43" s="161"/>
      <c r="J43" s="161"/>
      <c r="K43" s="161"/>
      <c r="L43" s="161"/>
      <c r="M43" s="162"/>
      <c r="N43" s="84"/>
      <c r="O43" s="84"/>
      <c r="P43" s="84"/>
    </row>
    <row r="44" spans="1:17" ht="33.75" hidden="1" thickBot="1" x14ac:dyDescent="0.45">
      <c r="A44" s="76" t="s">
        <v>19</v>
      </c>
      <c r="D44" s="172" t="s">
        <v>49</v>
      </c>
      <c r="E44" s="173"/>
      <c r="F44" s="82"/>
      <c r="G44" s="83"/>
      <c r="H44" s="82"/>
      <c r="I44" s="82"/>
      <c r="J44" s="82"/>
      <c r="K44" s="82"/>
      <c r="L44" s="82"/>
      <c r="M44" s="81"/>
    </row>
    <row r="45" spans="1:17" ht="30" hidden="1" customHeight="1" x14ac:dyDescent="0.25">
      <c r="A45" s="76" t="s">
        <v>19</v>
      </c>
      <c r="D45" s="80"/>
      <c r="E45" s="78"/>
      <c r="F45" s="174" t="s">
        <v>1452</v>
      </c>
      <c r="G45" s="174"/>
      <c r="H45" s="174"/>
      <c r="I45" s="174"/>
      <c r="J45" s="174"/>
      <c r="K45" s="174"/>
      <c r="L45" s="174"/>
      <c r="M45" s="175"/>
    </row>
    <row r="46" spans="1:17" ht="30" hidden="1" customHeight="1" x14ac:dyDescent="0.25">
      <c r="A46" s="76" t="s">
        <v>184</v>
      </c>
      <c r="D46" s="80"/>
      <c r="E46" s="78"/>
      <c r="F46" s="174" t="str">
        <f>"A107899"</f>
        <v>A107899</v>
      </c>
      <c r="G46" s="174"/>
      <c r="H46" s="174"/>
      <c r="I46" s="174"/>
      <c r="J46" s="174"/>
      <c r="K46" s="174"/>
      <c r="L46" s="174"/>
      <c r="M46" s="175"/>
    </row>
    <row r="47" spans="1:17" ht="30" hidden="1" customHeight="1" x14ac:dyDescent="0.25">
      <c r="A47" s="76" t="s">
        <v>184</v>
      </c>
      <c r="D47" s="80"/>
      <c r="E47" s="78"/>
      <c r="F47" s="174" t="str">
        <f>"A108201"</f>
        <v>A108201</v>
      </c>
      <c r="G47" s="174"/>
      <c r="H47" s="174"/>
      <c r="I47" s="174"/>
      <c r="J47" s="174"/>
      <c r="K47" s="174"/>
      <c r="L47" s="174"/>
      <c r="M47" s="175"/>
    </row>
    <row r="48" spans="1:17" ht="30" hidden="1" customHeight="1" x14ac:dyDescent="0.25">
      <c r="A48" s="76" t="s">
        <v>184</v>
      </c>
      <c r="D48" s="80"/>
      <c r="E48" s="78"/>
      <c r="F48" s="174" t="str">
        <f>"A108323"</f>
        <v>A108323</v>
      </c>
      <c r="G48" s="174"/>
      <c r="H48" s="174"/>
      <c r="I48" s="174"/>
      <c r="J48" s="174"/>
      <c r="K48" s="174"/>
      <c r="L48" s="174"/>
      <c r="M48" s="175"/>
    </row>
    <row r="49" spans="1:13" ht="15.75" hidden="1" customHeight="1" thickBot="1" x14ac:dyDescent="0.3">
      <c r="A49" s="76" t="s">
        <v>19</v>
      </c>
      <c r="D49" s="80"/>
      <c r="E49" s="78"/>
      <c r="F49" s="78"/>
      <c r="G49" s="79"/>
      <c r="H49" s="78"/>
      <c r="I49" s="78"/>
      <c r="J49" s="78"/>
      <c r="K49" s="78"/>
      <c r="L49" s="78"/>
      <c r="M49" s="77"/>
    </row>
    <row r="50" spans="1:13" ht="36.75" x14ac:dyDescent="0.45">
      <c r="A50" s="76" t="s">
        <v>30</v>
      </c>
      <c r="D50" s="176" t="s">
        <v>50</v>
      </c>
      <c r="E50" s="177"/>
      <c r="F50" s="178">
        <f>+F7</f>
        <v>42612</v>
      </c>
      <c r="G50" s="179"/>
      <c r="H50" s="179"/>
      <c r="I50" s="179"/>
      <c r="J50" s="179"/>
      <c r="K50" s="179"/>
      <c r="L50" s="179"/>
      <c r="M50" s="180"/>
    </row>
    <row r="51" spans="1:13" ht="37.5" thickBot="1" x14ac:dyDescent="0.5">
      <c r="A51" s="76" t="s">
        <v>30</v>
      </c>
      <c r="D51" s="158" t="s">
        <v>32</v>
      </c>
      <c r="E51" s="159"/>
      <c r="F51" s="160"/>
      <c r="G51" s="161"/>
      <c r="H51" s="161"/>
      <c r="I51" s="161"/>
      <c r="J51" s="161"/>
      <c r="K51" s="161"/>
      <c r="L51" s="161"/>
      <c r="M51" s="162"/>
    </row>
    <row r="52" spans="1:13" ht="80.099999999999994" customHeight="1" thickBot="1" x14ac:dyDescent="0.3">
      <c r="A52" s="76" t="s">
        <v>30</v>
      </c>
      <c r="D52" s="163" t="s">
        <v>51</v>
      </c>
      <c r="E52" s="164"/>
      <c r="F52" s="164"/>
      <c r="G52" s="164"/>
      <c r="H52" s="164"/>
      <c r="I52" s="164"/>
      <c r="J52" s="164"/>
      <c r="K52" s="164"/>
      <c r="L52" s="164"/>
      <c r="M52" s="165"/>
    </row>
    <row r="53" spans="1:13" ht="90" customHeight="1" thickBot="1" x14ac:dyDescent="0.3">
      <c r="A53" s="76" t="s">
        <v>30</v>
      </c>
      <c r="D53" s="166" t="str">
        <f>IF(F6="DELIVER",G6,F6)</f>
        <v>COLLIN 1</v>
      </c>
      <c r="E53" s="167"/>
      <c r="F53" s="167"/>
      <c r="G53" s="167"/>
      <c r="H53" s="167"/>
      <c r="I53" s="167"/>
      <c r="J53" s="167"/>
      <c r="K53" s="167"/>
      <c r="L53" s="167"/>
      <c r="M53" s="168"/>
    </row>
    <row r="54" spans="1:13" ht="60" customHeight="1" thickBot="1" x14ac:dyDescent="0.3">
      <c r="A54" s="76" t="s">
        <v>30</v>
      </c>
      <c r="D54" s="169" t="s">
        <v>55</v>
      </c>
      <c r="E54" s="170"/>
      <c r="F54" s="170"/>
      <c r="G54" s="170"/>
      <c r="H54" s="170"/>
      <c r="I54" s="170"/>
      <c r="J54" s="170"/>
      <c r="K54" s="170"/>
      <c r="L54" s="170"/>
      <c r="M54" s="171"/>
    </row>
  </sheetData>
  <mergeCells count="20">
    <mergeCell ref="D50:E50"/>
    <mergeCell ref="F50:M50"/>
    <mergeCell ref="D2:M2"/>
    <mergeCell ref="F19:M21"/>
    <mergeCell ref="D39:M39"/>
    <mergeCell ref="D41:M41"/>
    <mergeCell ref="D42:E42"/>
    <mergeCell ref="F42:M42"/>
    <mergeCell ref="F46:M46"/>
    <mergeCell ref="F47:M47"/>
    <mergeCell ref="F48:M48"/>
    <mergeCell ref="D43:E43"/>
    <mergeCell ref="F43:M43"/>
    <mergeCell ref="D44:E44"/>
    <mergeCell ref="F45:M45"/>
    <mergeCell ref="D51:E51"/>
    <mergeCell ref="F51:M51"/>
    <mergeCell ref="D52:M52"/>
    <mergeCell ref="D53:M53"/>
    <mergeCell ref="D54:M54"/>
  </mergeCells>
  <conditionalFormatting sqref="F6">
    <cfRule type="cellIs" dxfId="379" priority="5" operator="equal">
      <formula>"DELIVER"</formula>
    </cfRule>
  </conditionalFormatting>
  <conditionalFormatting sqref="D41">
    <cfRule type="cellIs" dxfId="378" priority="4" operator="equal">
      <formula>"DELIVER"</formula>
    </cfRule>
  </conditionalFormatting>
  <conditionalFormatting sqref="D2:M2">
    <cfRule type="expression" dxfId="377" priority="3">
      <formula>$F$6="DELIVER"</formula>
    </cfRule>
  </conditionalFormatting>
  <conditionalFormatting sqref="G6">
    <cfRule type="expression" dxfId="376" priority="2">
      <formula>$F$6="DELIVER"</formula>
    </cfRule>
  </conditionalFormatting>
  <conditionalFormatting sqref="D53">
    <cfRule type="expression" dxfId="37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9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1623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SOUL FOR CHRIST MINISTRY, INC  (026536RA) - NO DRY|DRYUSDA|MCTF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"026536RA"</f>
        <v>026536RA</v>
      </c>
      <c r="E4" s="101" t="s">
        <v>37</v>
      </c>
      <c r="F4" s="105" t="str">
        <f>C4</f>
        <v>026536RA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1465</v>
      </c>
      <c r="E5" s="101" t="s">
        <v>36</v>
      </c>
      <c r="F5" s="112" t="s">
        <v>733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757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A108241|A108406|A108241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ITPN-207461|ITPN-207499|ITPN-207461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1465</v>
      </c>
      <c r="E12" s="74" t="s">
        <v>1459</v>
      </c>
      <c r="F12" s="74" t="s">
        <v>1460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Pick"",""2"",""ITPN-207499"""</f>
        <v>"Ceres NTFB Live","NTFB Live","5766","1","Invt. Pick","2","ITPN-207499"</v>
      </c>
      <c r="E13" s="74" t="s">
        <v>1461</v>
      </c>
      <c r="F13" s="74" t="s">
        <v>1462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1459</v>
      </c>
      <c r="E14" s="74" t="str">
        <f>E12</f>
        <v>A108241</v>
      </c>
      <c r="F14" s="74" t="str">
        <f>F12</f>
        <v>ITPN-207461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1463</v>
      </c>
      <c r="F15" s="92" t="s">
        <v>1464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96" t="s">
        <v>79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SOUL FOR CHRIST MINISTRY, INC  (026536RA) - NO DRY|DRYUSDA|MCTF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026536RA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SOUL FOR CHRIST MINISTRY, INC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1459</v>
      </c>
      <c r="G33" s="174"/>
      <c r="H33" s="174"/>
      <c r="I33" s="174"/>
      <c r="J33" s="174"/>
      <c r="K33" s="174"/>
      <c r="L33" s="174"/>
      <c r="M33" s="175"/>
    </row>
    <row r="34" spans="1:13" ht="30" hidden="1" customHeight="1" x14ac:dyDescent="0.25">
      <c r="A34" s="76" t="s">
        <v>184</v>
      </c>
      <c r="D34" s="80"/>
      <c r="E34" s="78"/>
      <c r="F34" s="174" t="str">
        <f>"A108406"</f>
        <v>A108406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>PICKUP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8">
    <mergeCell ref="D36:E36"/>
    <mergeCell ref="F36:M36"/>
    <mergeCell ref="D2:M2"/>
    <mergeCell ref="F16:M18"/>
    <mergeCell ref="D27:M27"/>
    <mergeCell ref="D29:M29"/>
    <mergeCell ref="D30:E30"/>
    <mergeCell ref="F30:M30"/>
    <mergeCell ref="F34:M34"/>
    <mergeCell ref="D31:E31"/>
    <mergeCell ref="F31:M31"/>
    <mergeCell ref="D32:E32"/>
    <mergeCell ref="F33:M33"/>
    <mergeCell ref="D37:E37"/>
    <mergeCell ref="F37:M37"/>
    <mergeCell ref="D38:M38"/>
    <mergeCell ref="D39:M39"/>
    <mergeCell ref="D40:M40"/>
  </mergeCells>
  <conditionalFormatting sqref="F6">
    <cfRule type="cellIs" dxfId="374" priority="5" operator="equal">
      <formula>"DELIVER"</formula>
    </cfRule>
  </conditionalFormatting>
  <conditionalFormatting sqref="D29">
    <cfRule type="cellIs" dxfId="373" priority="4" operator="equal">
      <formula>"DELIVER"</formula>
    </cfRule>
  </conditionalFormatting>
  <conditionalFormatting sqref="D2:M2">
    <cfRule type="expression" dxfId="372" priority="3">
      <formula>$F$6="DELIVER"</formula>
    </cfRule>
  </conditionalFormatting>
  <conditionalFormatting sqref="G6">
    <cfRule type="expression" dxfId="371" priority="2">
      <formula>$F$6="DELIVER"</formula>
    </cfRule>
  </conditionalFormatting>
  <conditionalFormatting sqref="D39">
    <cfRule type="expression" dxfId="37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1625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HARMONY COMMUNITY DEV. CORP  (026575P)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"026575P"</f>
        <v>026575P</v>
      </c>
      <c r="E4" s="101" t="s">
        <v>37</v>
      </c>
      <c r="F4" s="105" t="str">
        <f>C4</f>
        <v>026575P</v>
      </c>
      <c r="K4" s="101" t="s">
        <v>42</v>
      </c>
      <c r="L4" s="104"/>
      <c r="M4" s="111">
        <f>SUM(I25:I31)</f>
        <v>60</v>
      </c>
    </row>
    <row r="5" spans="1:26" ht="18" customHeight="1" x14ac:dyDescent="0.25">
      <c r="B5" s="76" t="str">
        <f t="shared" si="0"/>
        <v>Show</v>
      </c>
      <c r="C5" s="109" t="s">
        <v>1471</v>
      </c>
      <c r="E5" s="101" t="s">
        <v>36</v>
      </c>
      <c r="F5" s="112" t="s">
        <v>1192</v>
      </c>
      <c r="K5" s="101" t="s">
        <v>43</v>
      </c>
      <c r="L5" s="104"/>
      <c r="M5" s="111">
        <f>ROUND(SUM(O25:O31),0)</f>
        <v>1895</v>
      </c>
    </row>
    <row r="6" spans="1:26" ht="18" customHeight="1" x14ac:dyDescent="0.25">
      <c r="B6" s="76" t="str">
        <f t="shared" si="0"/>
        <v>Show</v>
      </c>
      <c r="C6" s="109" t="s">
        <v>1472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ROUND(COUNT(O25:O31),0)</f>
        <v>6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A108064|A108064|A108064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ITPN-207444|ITPN-207446|ITPN-207444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1471</v>
      </c>
      <c r="E12" s="74" t="s">
        <v>1466</v>
      </c>
      <c r="F12" s="74" t="s">
        <v>1467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Pick"",""2"",""ITPN-207446"""</f>
        <v>"Ceres NTFB Live","NTFB Live","5766","1","Invt. Pick","2","ITPN-207446"</v>
      </c>
      <c r="E13" s="74" t="s">
        <v>1466</v>
      </c>
      <c r="F13" s="74" t="s">
        <v>1468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1466</v>
      </c>
      <c r="E14" s="74" t="str">
        <f>E12</f>
        <v>A108064</v>
      </c>
      <c r="F14" s="74" t="str">
        <f>F12</f>
        <v>ITPN-207444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1469</v>
      </c>
      <c r="F15" s="92" t="s">
        <v>1470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96" t="s">
        <v>79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1475</v>
      </c>
      <c r="D25" s="89" t="str">
        <f>"04-10-01"</f>
        <v>04-10-01</v>
      </c>
      <c r="E25" s="89" t="str">
        <f>"P00186004"</f>
        <v>P00186004</v>
      </c>
      <c r="F25" s="89" t="str">
        <f>"1000000820"</f>
        <v>1000000820</v>
      </c>
      <c r="G25" s="91" t="s">
        <v>1473</v>
      </c>
      <c r="H25" s="90" t="str">
        <f>"ASSORTED FOOD (DRY) - ASFODNO - 20#"</f>
        <v>ASSORTED FOOD (DRY) - ASFODNO - 20#</v>
      </c>
      <c r="I25" s="89">
        <v>5</v>
      </c>
      <c r="J25" s="89" t="str">
        <f t="shared" ref="J25:J30" si="2">"CS"</f>
        <v>CS</v>
      </c>
      <c r="K25" s="88"/>
      <c r="L25" s="87"/>
      <c r="M25" s="87"/>
      <c r="N25" s="85" t="s">
        <v>179</v>
      </c>
      <c r="O25" s="85">
        <v>100</v>
      </c>
      <c r="P25" s="85" t="str">
        <f>"DRY"</f>
        <v>DRY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30" si="3">IF(I26="","Hide","Show")</f>
        <v>Show</v>
      </c>
      <c r="C26" s="74" t="str">
        <f>"""Ceres NTFB Live"",""NTFB Live"",""5767"",""1"",""Invt. Pick"",""2"",""ITPN-207444"",""3"",""20000"""</f>
        <v>"Ceres NTFB Live","NTFB Live","5767","1","Invt. Pick","2","ITPN-207444","3","20000"</v>
      </c>
      <c r="D26" s="89" t="str">
        <f>"04-34-01"</f>
        <v>04-34-01</v>
      </c>
      <c r="E26" s="89" t="str">
        <f>"P00190472"</f>
        <v>P00190472</v>
      </c>
      <c r="F26" s="89" t="str">
        <f>"1000000815"</f>
        <v>1000000815</v>
      </c>
      <c r="G26" s="91" t="s">
        <v>1473</v>
      </c>
      <c r="H26" s="90" t="str">
        <f>"ASSORTED FOOD (DRY) - ASFODNO - 15#"</f>
        <v>ASSORTED FOOD (DRY) - ASFODNO - 15#</v>
      </c>
      <c r="I26" s="89">
        <v>10</v>
      </c>
      <c r="J26" s="89" t="str">
        <f t="shared" si="2"/>
        <v>CS</v>
      </c>
      <c r="K26" s="88"/>
      <c r="L26" s="87"/>
      <c r="M26" s="87"/>
      <c r="N26" s="85" t="s">
        <v>179</v>
      </c>
      <c r="O26" s="85">
        <v>150</v>
      </c>
      <c r="P26" s="85" t="str">
        <f>"DRY"</f>
        <v>DRY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3"/>
        <v>Show</v>
      </c>
      <c r="C27" s="74" t="str">
        <f>"""Ceres NTFB Live"",""NTFB Live"",""5767"",""1"",""Invt. Pick"",""2"",""ITPN-207446"",""3"",""80000"""</f>
        <v>"Ceres NTFB Live","NTFB Live","5767","1","Invt. Pick","2","ITPN-207446","3","80000"</v>
      </c>
      <c r="D27" s="89" t="str">
        <f>"33-03-01"</f>
        <v>33-03-01</v>
      </c>
      <c r="E27" s="89" t="str">
        <f>"P00187848"</f>
        <v>P00187848</v>
      </c>
      <c r="F27" s="89" t="str">
        <f>"1000000005"</f>
        <v>1000000005</v>
      </c>
      <c r="G27" s="91" t="s">
        <v>1474</v>
      </c>
      <c r="H27" s="90" t="str">
        <f>"USDA RICE"</f>
        <v>USDA RICE</v>
      </c>
      <c r="I27" s="89">
        <v>10</v>
      </c>
      <c r="J27" s="89" t="str">
        <f t="shared" si="2"/>
        <v>CS</v>
      </c>
      <c r="K27" s="88"/>
      <c r="L27" s="87"/>
      <c r="M27" s="87"/>
      <c r="N27" s="85" t="s">
        <v>179</v>
      </c>
      <c r="O27" s="85">
        <v>600</v>
      </c>
      <c r="P27" s="85" t="str">
        <f>"DRYUSDA"</f>
        <v>DRYUSDA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3"/>
        <v>Show</v>
      </c>
      <c r="C28" s="74" t="str">
        <f>"""Ceres NTFB Live"",""NTFB Live"",""5767"",""1"",""Invt. Pick"",""2"",""ITPN-207446"",""3"",""60000"""</f>
        <v>"Ceres NTFB Live","NTFB Live","5767","1","Invt. Pick","2","ITPN-207446","3","60000"</v>
      </c>
      <c r="D28" s="89" t="str">
        <f>"33-05-01"</f>
        <v>33-05-01</v>
      </c>
      <c r="E28" s="89" t="str">
        <f>"P00193953"</f>
        <v>P00193953</v>
      </c>
      <c r="F28" s="89" t="str">
        <f>"1000000938"</f>
        <v>1000000938</v>
      </c>
      <c r="G28" s="91" t="s">
        <v>1474</v>
      </c>
      <c r="H28" s="90" t="str">
        <f>"USDA PORK WITH JUICES"</f>
        <v>USDA PORK WITH JUICES</v>
      </c>
      <c r="I28" s="89">
        <v>15</v>
      </c>
      <c r="J28" s="89" t="str">
        <f t="shared" si="2"/>
        <v>CS</v>
      </c>
      <c r="K28" s="88"/>
      <c r="L28" s="87"/>
      <c r="M28" s="87"/>
      <c r="N28" s="85" t="s">
        <v>179</v>
      </c>
      <c r="O28" s="85">
        <v>555</v>
      </c>
      <c r="P28" s="85" t="str">
        <f>"DRYUSDA"</f>
        <v>DRYUSDA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si="3"/>
        <v>Show</v>
      </c>
      <c r="C29" s="74" t="str">
        <f>"""Ceres NTFB Live"",""NTFB Live"",""5767"",""1"",""Invt. Pick"",""2"",""ITPN-207446"",""3"",""51000"""</f>
        <v>"Ceres NTFB Live","NTFB Live","5767","1","Invt. Pick","2","ITPN-207446","3","51000"</v>
      </c>
      <c r="D29" s="89" t="str">
        <f>"33-14-01"</f>
        <v>33-14-01</v>
      </c>
      <c r="E29" s="89" t="str">
        <f>"P00193813"</f>
        <v>P00193813</v>
      </c>
      <c r="F29" s="89" t="str">
        <f>"1000000688"</f>
        <v>1000000688</v>
      </c>
      <c r="G29" s="91" t="s">
        <v>1474</v>
      </c>
      <c r="H29" s="90" t="str">
        <f>"USDA MILK,SHELF STABLE, 1%"</f>
        <v>USDA MILK,SHELF STABLE, 1%</v>
      </c>
      <c r="I29" s="89">
        <v>10</v>
      </c>
      <c r="J29" s="89" t="str">
        <f t="shared" si="2"/>
        <v>CS</v>
      </c>
      <c r="K29" s="88"/>
      <c r="L29" s="87"/>
      <c r="M29" s="87"/>
      <c r="N29" s="85" t="s">
        <v>179</v>
      </c>
      <c r="O29" s="85">
        <v>240</v>
      </c>
      <c r="P29" s="85" t="str">
        <f>"DRYUSDA"</f>
        <v>DRYUSDA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3"/>
        <v>Show</v>
      </c>
      <c r="C30" s="74" t="str">
        <f>"""Ceres NTFB Live"",""NTFB Live"",""5767"",""1"",""Invt. Pick"",""2"",""ITPN-207446"",""3"",""100000"""</f>
        <v>"Ceres NTFB Live","NTFB Live","5767","1","Invt. Pick","2","ITPN-207446","3","100000"</v>
      </c>
      <c r="D30" s="89" t="str">
        <f>"36-09-01"</f>
        <v>36-09-01</v>
      </c>
      <c r="E30" s="89" t="str">
        <f>"P00192117"</f>
        <v>P00192117</v>
      </c>
      <c r="F30" s="89" t="str">
        <f>"1000000562"</f>
        <v>1000000562</v>
      </c>
      <c r="G30" s="91" t="s">
        <v>1474</v>
      </c>
      <c r="H30" s="90" t="str">
        <f>"USDA SPAGHETTI, WHOLE WHEAT "</f>
        <v xml:space="preserve">USDA SPAGHETTI, WHOLE WHEAT </v>
      </c>
      <c r="I30" s="89">
        <v>10</v>
      </c>
      <c r="J30" s="89" t="str">
        <f t="shared" si="2"/>
        <v>CS</v>
      </c>
      <c r="K30" s="88"/>
      <c r="L30" s="87"/>
      <c r="M30" s="87"/>
      <c r="N30" s="85" t="s">
        <v>179</v>
      </c>
      <c r="O30" s="85">
        <v>250</v>
      </c>
      <c r="P30" s="85" t="str">
        <f>"DRYUSDA"</f>
        <v>DRYUSDA</v>
      </c>
      <c r="Q30" s="86" t="s">
        <v>56</v>
      </c>
    </row>
    <row r="31" spans="1:17" ht="15.75" thickBot="1" x14ac:dyDescent="0.3">
      <c r="B31" s="74" t="str">
        <f>B25</f>
        <v>Show</v>
      </c>
      <c r="H31" s="85"/>
      <c r="I31" s="85"/>
    </row>
    <row r="32" spans="1:17" ht="15.75" thickBot="1" x14ac:dyDescent="0.3">
      <c r="B32" s="74" t="str">
        <f>+B31</f>
        <v>Show</v>
      </c>
      <c r="D32" s="193" t="str">
        <f>+"END OF "&amp;D2</f>
        <v>END OF HARMONY COMMUNITY DEV. CORP  (026575P) - DRY|DRYUSDA|MCTF PICK LIST</v>
      </c>
      <c r="E32" s="194"/>
      <c r="F32" s="194"/>
      <c r="G32" s="194"/>
      <c r="H32" s="194"/>
      <c r="I32" s="194"/>
      <c r="J32" s="194"/>
      <c r="K32" s="194"/>
      <c r="L32" s="194"/>
      <c r="M32" s="195"/>
    </row>
    <row r="33" spans="1:16" ht="15.75" thickBot="1" x14ac:dyDescent="0.3"/>
    <row r="34" spans="1:16" ht="80.099999999999994" customHeight="1" thickBot="1" x14ac:dyDescent="0.3">
      <c r="A34" s="76" t="s">
        <v>30</v>
      </c>
      <c r="D34" s="166" t="str">
        <f>+F6</f>
        <v>PICKUP</v>
      </c>
      <c r="E34" s="167"/>
      <c r="F34" s="167"/>
      <c r="G34" s="167"/>
      <c r="H34" s="167"/>
      <c r="I34" s="167"/>
      <c r="J34" s="167"/>
      <c r="K34" s="167"/>
      <c r="L34" s="167"/>
      <c r="M34" s="168"/>
    </row>
    <row r="35" spans="1:16" ht="36.75" x14ac:dyDescent="0.45">
      <c r="A35" s="76" t="s">
        <v>30</v>
      </c>
      <c r="D35" s="176" t="s">
        <v>12</v>
      </c>
      <c r="E35" s="177"/>
      <c r="F35" s="196" t="str">
        <f>+F4</f>
        <v>026575P</v>
      </c>
      <c r="G35" s="196"/>
      <c r="H35" s="196"/>
      <c r="I35" s="196"/>
      <c r="J35" s="196"/>
      <c r="K35" s="196"/>
      <c r="L35" s="196"/>
      <c r="M35" s="197"/>
    </row>
    <row r="36" spans="1:16" ht="37.5" customHeight="1" thickBot="1" x14ac:dyDescent="0.5">
      <c r="A36" s="76" t="s">
        <v>30</v>
      </c>
      <c r="D36" s="158" t="s">
        <v>5</v>
      </c>
      <c r="E36" s="159"/>
      <c r="F36" s="161" t="str">
        <f>+F5</f>
        <v>HARMONY COMMUNITY DEV. CORP</v>
      </c>
      <c r="G36" s="161"/>
      <c r="H36" s="161"/>
      <c r="I36" s="161"/>
      <c r="J36" s="161"/>
      <c r="K36" s="161"/>
      <c r="L36" s="161"/>
      <c r="M36" s="162"/>
      <c r="N36" s="84"/>
      <c r="O36" s="84"/>
      <c r="P36" s="84"/>
    </row>
    <row r="37" spans="1:16" ht="33.75" hidden="1" thickBot="1" x14ac:dyDescent="0.45">
      <c r="A37" s="76" t="s">
        <v>19</v>
      </c>
      <c r="D37" s="172" t="s">
        <v>49</v>
      </c>
      <c r="E37" s="173"/>
      <c r="F37" s="82"/>
      <c r="G37" s="83"/>
      <c r="H37" s="82"/>
      <c r="I37" s="82"/>
      <c r="J37" s="82"/>
      <c r="K37" s="82"/>
      <c r="L37" s="82"/>
      <c r="M37" s="81"/>
    </row>
    <row r="38" spans="1:16" ht="30" hidden="1" customHeight="1" x14ac:dyDescent="0.25">
      <c r="A38" s="76" t="s">
        <v>19</v>
      </c>
      <c r="D38" s="80"/>
      <c r="E38" s="78"/>
      <c r="F38" s="174" t="s">
        <v>1466</v>
      </c>
      <c r="G38" s="174"/>
      <c r="H38" s="174"/>
      <c r="I38" s="174"/>
      <c r="J38" s="174"/>
      <c r="K38" s="174"/>
      <c r="L38" s="174"/>
      <c r="M38" s="175"/>
    </row>
    <row r="39" spans="1:16" ht="15.75" hidden="1" customHeight="1" thickBot="1" x14ac:dyDescent="0.3">
      <c r="A39" s="76" t="s">
        <v>19</v>
      </c>
      <c r="D39" s="80"/>
      <c r="E39" s="78"/>
      <c r="F39" s="78"/>
      <c r="G39" s="79"/>
      <c r="H39" s="78"/>
      <c r="I39" s="78"/>
      <c r="J39" s="78"/>
      <c r="K39" s="78"/>
      <c r="L39" s="78"/>
      <c r="M39" s="77"/>
    </row>
    <row r="40" spans="1:16" ht="36.75" x14ac:dyDescent="0.45">
      <c r="A40" s="76" t="s">
        <v>30</v>
      </c>
      <c r="D40" s="176" t="s">
        <v>50</v>
      </c>
      <c r="E40" s="177"/>
      <c r="F40" s="178">
        <f>+F7</f>
        <v>42612</v>
      </c>
      <c r="G40" s="179"/>
      <c r="H40" s="179"/>
      <c r="I40" s="179"/>
      <c r="J40" s="179"/>
      <c r="K40" s="179"/>
      <c r="L40" s="179"/>
      <c r="M40" s="180"/>
    </row>
    <row r="41" spans="1:16" ht="37.5" thickBot="1" x14ac:dyDescent="0.5">
      <c r="A41" s="76" t="s">
        <v>30</v>
      </c>
      <c r="D41" s="158" t="s">
        <v>32</v>
      </c>
      <c r="E41" s="159"/>
      <c r="F41" s="160"/>
      <c r="G41" s="161"/>
      <c r="H41" s="161"/>
      <c r="I41" s="161"/>
      <c r="J41" s="161"/>
      <c r="K41" s="161"/>
      <c r="L41" s="161"/>
      <c r="M41" s="162"/>
    </row>
    <row r="42" spans="1:16" ht="80.099999999999994" customHeight="1" thickBot="1" x14ac:dyDescent="0.3">
      <c r="A42" s="76" t="s">
        <v>30</v>
      </c>
      <c r="D42" s="163" t="s">
        <v>51</v>
      </c>
      <c r="E42" s="164"/>
      <c r="F42" s="164"/>
      <c r="G42" s="164"/>
      <c r="H42" s="164"/>
      <c r="I42" s="164"/>
      <c r="J42" s="164"/>
      <c r="K42" s="164"/>
      <c r="L42" s="164"/>
      <c r="M42" s="165"/>
    </row>
    <row r="43" spans="1:16" ht="90" customHeight="1" thickBot="1" x14ac:dyDescent="0.3">
      <c r="A43" s="76" t="s">
        <v>30</v>
      </c>
      <c r="D43" s="166" t="str">
        <f>IF(F6="DELIVER",G6,F6)</f>
        <v>PICKUP</v>
      </c>
      <c r="E43" s="167"/>
      <c r="F43" s="167"/>
      <c r="G43" s="167"/>
      <c r="H43" s="167"/>
      <c r="I43" s="167"/>
      <c r="J43" s="167"/>
      <c r="K43" s="167"/>
      <c r="L43" s="167"/>
      <c r="M43" s="168"/>
    </row>
    <row r="44" spans="1:16" ht="60" customHeight="1" thickBot="1" x14ac:dyDescent="0.3">
      <c r="A44" s="76" t="s">
        <v>30</v>
      </c>
      <c r="D44" s="169" t="s">
        <v>55</v>
      </c>
      <c r="E44" s="170"/>
      <c r="F44" s="170"/>
      <c r="G44" s="170"/>
      <c r="H44" s="170"/>
      <c r="I44" s="170"/>
      <c r="J44" s="170"/>
      <c r="K44" s="170"/>
      <c r="L44" s="170"/>
      <c r="M44" s="171"/>
    </row>
  </sheetData>
  <mergeCells count="17">
    <mergeCell ref="D2:M2"/>
    <mergeCell ref="F16:M18"/>
    <mergeCell ref="D32:M32"/>
    <mergeCell ref="D34:M34"/>
    <mergeCell ref="D35:E35"/>
    <mergeCell ref="F35:M35"/>
    <mergeCell ref="D36:E36"/>
    <mergeCell ref="F36:M36"/>
    <mergeCell ref="D37:E37"/>
    <mergeCell ref="F38:M38"/>
    <mergeCell ref="D40:E40"/>
    <mergeCell ref="F40:M40"/>
    <mergeCell ref="D41:E41"/>
    <mergeCell ref="F41:M41"/>
    <mergeCell ref="D42:M42"/>
    <mergeCell ref="D43:M43"/>
    <mergeCell ref="D44:M44"/>
  </mergeCells>
  <conditionalFormatting sqref="F6">
    <cfRule type="cellIs" dxfId="369" priority="5" operator="equal">
      <formula>"DELIVER"</formula>
    </cfRule>
  </conditionalFormatting>
  <conditionalFormatting sqref="D34">
    <cfRule type="cellIs" dxfId="368" priority="4" operator="equal">
      <formula>"DELIVER"</formula>
    </cfRule>
  </conditionalFormatting>
  <conditionalFormatting sqref="D2:M2">
    <cfRule type="expression" dxfId="367" priority="3">
      <formula>$F$6="DELIVER"</formula>
    </cfRule>
  </conditionalFormatting>
  <conditionalFormatting sqref="G6">
    <cfRule type="expression" dxfId="366" priority="2">
      <formula>$F$6="DELIVER"</formula>
    </cfRule>
  </conditionalFormatting>
  <conditionalFormatting sqref="D43">
    <cfRule type="expression" dxfId="36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1627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IF(F32="","HIDESHEET","")</f>
        <v/>
      </c>
      <c r="C2" s="74" t="s">
        <v>7</v>
      </c>
      <c r="D2" s="181" t="str">
        <f>IF(E32="",F5&amp;"  ("&amp;F4&amp;") - NO "&amp;C31,F5&amp;"  ("&amp;F4&amp;") - "&amp;C31&amp;" PICK LIST")</f>
        <v>CHRISTIAN BENEVOLENT OUTREACH  (026637P)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"026637P"</f>
        <v>026637P</v>
      </c>
      <c r="E4" s="101" t="s">
        <v>37</v>
      </c>
      <c r="F4" s="105" t="str">
        <f>C4</f>
        <v>026637P</v>
      </c>
      <c r="K4" s="101" t="s">
        <v>42</v>
      </c>
      <c r="L4" s="104"/>
      <c r="M4" s="111">
        <f>SUM(I32:I50)</f>
        <v>256</v>
      </c>
    </row>
    <row r="5" spans="1:26" ht="18" customHeight="1" x14ac:dyDescent="0.25">
      <c r="B5" s="76" t="str">
        <f t="shared" si="0"/>
        <v>Show</v>
      </c>
      <c r="C5" s="109" t="s">
        <v>1476</v>
      </c>
      <c r="E5" s="101" t="s">
        <v>36</v>
      </c>
      <c r="F5" s="112" t="s">
        <v>1173</v>
      </c>
      <c r="K5" s="101" t="s">
        <v>43</v>
      </c>
      <c r="L5" s="104"/>
      <c r="M5" s="111">
        <f>ROUND(SUM(O32:O50),0)</f>
        <v>4665</v>
      </c>
    </row>
    <row r="6" spans="1:26" ht="18" customHeight="1" x14ac:dyDescent="0.25">
      <c r="B6" s="76" t="str">
        <f t="shared" si="0"/>
        <v>Show</v>
      </c>
      <c r="C6" s="109" t="s">
        <v>1477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ROUND(COUNT(O32:O50),0)</f>
        <v>18</v>
      </c>
      <c r="P6" s="101"/>
      <c r="W6" s="101" t="str">
        <f>"ESTIMATED "&amp;O31&amp;"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E22</f>
        <v>A107495|A107495|A107495|A107502|A107502|A107580|A107580|A107796|A107796|A107495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F22</f>
        <v>ITPN-207417|ITPN-207418|ITPN-207419|ITPN-207420|ITPN-207421|ITPN-207422|ITPN-207423|ITPN-207424|ITPN-207425|ITPN-207417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B21</f>
        <v>Show</v>
      </c>
      <c r="C12" s="74" t="s">
        <v>1480</v>
      </c>
      <c r="E12" s="74" t="str">
        <f>"A107495"</f>
        <v>A107495</v>
      </c>
      <c r="F12" s="74" t="str">
        <f>"ITPN-207417"</f>
        <v>ITPN-207417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20" si="1">B22</f>
        <v>Show</v>
      </c>
      <c r="C13" s="74" t="str">
        <f>"""Ceres NTFB Live"",""NTFB Live"",""5766"",""1"",""Invt. Pick"",""2"",""ITPN-207418"""</f>
        <v>"Ceres NTFB Live","NTFB Live","5766","1","Invt. Pick","2","ITPN-207418"</v>
      </c>
      <c r="E13" s="74" t="str">
        <f>"A107495"</f>
        <v>A107495</v>
      </c>
      <c r="F13" s="74" t="str">
        <f>"ITPN-207418"</f>
        <v>ITPN-207418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Pick"",""2"",""ITPN-207419"""</f>
        <v>"Ceres NTFB Live","NTFB Live","5766","1","Invt. Pick","2","ITPN-207419"</v>
      </c>
      <c r="E14" s="74" t="str">
        <f>"A107495"</f>
        <v>A107495</v>
      </c>
      <c r="F14" s="74" t="str">
        <f>"ITPN-207419"</f>
        <v>ITPN-207419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173</v>
      </c>
      <c r="B15" s="76" t="str">
        <f t="shared" si="1"/>
        <v>Show</v>
      </c>
      <c r="C15" s="74" t="str">
        <f>"""Ceres NTFB Live"",""NTFB Live"",""5766"",""1"",""Invt. Pick"",""2"",""ITPN-207420"""</f>
        <v>"Ceres NTFB Live","NTFB Live","5766","1","Invt. Pick","2","ITPN-207420"</v>
      </c>
      <c r="E15" s="74" t="str">
        <f>"A107502"</f>
        <v>A107502</v>
      </c>
      <c r="F15" s="74" t="str">
        <f>"ITPN-207420"</f>
        <v>ITPN-207420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173</v>
      </c>
      <c r="B16" s="76" t="str">
        <f t="shared" si="1"/>
        <v>Show</v>
      </c>
      <c r="C16" s="74" t="str">
        <f>"""Ceres NTFB Live"",""NTFB Live"",""5766"",""1"",""Invt. Pick"",""2"",""ITPN-207421"""</f>
        <v>"Ceres NTFB Live","NTFB Live","5766","1","Invt. Pick","2","ITPN-207421"</v>
      </c>
      <c r="E16" s="74" t="str">
        <f>"A107502"</f>
        <v>A107502</v>
      </c>
      <c r="F16" s="74" t="str">
        <f>"ITPN-207421"</f>
        <v>ITPN-207421</v>
      </c>
      <c r="I16" s="98"/>
      <c r="J16" s="98"/>
      <c r="K16" s="98"/>
      <c r="L16" s="98"/>
      <c r="M16" s="98"/>
    </row>
    <row r="17" spans="1:17" ht="15.75" hidden="1" thickBot="1" x14ac:dyDescent="0.3">
      <c r="A17" s="74" t="s">
        <v>173</v>
      </c>
      <c r="B17" s="76" t="str">
        <f t="shared" si="1"/>
        <v>Show</v>
      </c>
      <c r="C17" s="74" t="str">
        <f>"""Ceres NTFB Live"",""NTFB Live"",""5766"",""1"",""Invt. Pick"",""2"",""ITPN-207422"""</f>
        <v>"Ceres NTFB Live","NTFB Live","5766","1","Invt. Pick","2","ITPN-207422"</v>
      </c>
      <c r="E17" s="74" t="str">
        <f>"A107580"</f>
        <v>A107580</v>
      </c>
      <c r="F17" s="74" t="str">
        <f>"ITPN-207422"</f>
        <v>ITPN-207422</v>
      </c>
      <c r="I17" s="98"/>
      <c r="J17" s="98"/>
      <c r="K17" s="98"/>
      <c r="L17" s="98"/>
      <c r="M17" s="98"/>
    </row>
    <row r="18" spans="1:17" ht="15.75" hidden="1" thickBot="1" x14ac:dyDescent="0.3">
      <c r="A18" s="74" t="s">
        <v>173</v>
      </c>
      <c r="B18" s="76" t="str">
        <f t="shared" si="1"/>
        <v>Show</v>
      </c>
      <c r="C18" s="74" t="str">
        <f>"""Ceres NTFB Live"",""NTFB Live"",""5766"",""1"",""Invt. Pick"",""2"",""ITPN-207423"""</f>
        <v>"Ceres NTFB Live","NTFB Live","5766","1","Invt. Pick","2","ITPN-207423"</v>
      </c>
      <c r="E18" s="74" t="str">
        <f>"A107580"</f>
        <v>A107580</v>
      </c>
      <c r="F18" s="74" t="str">
        <f>"ITPN-207423"</f>
        <v>ITPN-207423</v>
      </c>
      <c r="I18" s="98"/>
      <c r="J18" s="98"/>
      <c r="K18" s="98"/>
      <c r="L18" s="98"/>
      <c r="M18" s="98"/>
    </row>
    <row r="19" spans="1:17" ht="15.75" hidden="1" thickBot="1" x14ac:dyDescent="0.3">
      <c r="A19" s="74" t="s">
        <v>173</v>
      </c>
      <c r="B19" s="76" t="str">
        <f t="shared" si="1"/>
        <v>Show</v>
      </c>
      <c r="C19" s="74" t="str">
        <f>"""Ceres NTFB Live"",""NTFB Live"",""5766"",""1"",""Invt. Pick"",""2"",""ITPN-207424"""</f>
        <v>"Ceres NTFB Live","NTFB Live","5766","1","Invt. Pick","2","ITPN-207424"</v>
      </c>
      <c r="E19" s="74" t="str">
        <f>"A107796"</f>
        <v>A107796</v>
      </c>
      <c r="F19" s="74" t="str">
        <f>"ITPN-207424"</f>
        <v>ITPN-207424</v>
      </c>
      <c r="I19" s="98"/>
      <c r="J19" s="98"/>
      <c r="K19" s="98"/>
      <c r="L19" s="98"/>
      <c r="M19" s="98"/>
    </row>
    <row r="20" spans="1:17" ht="15.75" hidden="1" thickBot="1" x14ac:dyDescent="0.3">
      <c r="A20" s="74" t="s">
        <v>173</v>
      </c>
      <c r="B20" s="76" t="str">
        <f t="shared" si="1"/>
        <v>Show</v>
      </c>
      <c r="C20" s="74" t="str">
        <f>"""Ceres NTFB Live"",""NTFB Live"",""5766"",""1"",""Invt. Pick"",""2"",""ITPN-207425"""</f>
        <v>"Ceres NTFB Live","NTFB Live","5766","1","Invt. Pick","2","ITPN-207425"</v>
      </c>
      <c r="E20" s="74" t="str">
        <f>"A107796"</f>
        <v>A107796</v>
      </c>
      <c r="F20" s="74" t="str">
        <f>"ITPN-207425"</f>
        <v>ITPN-207425</v>
      </c>
      <c r="I20" s="98"/>
      <c r="J20" s="98"/>
      <c r="K20" s="98"/>
      <c r="L20" s="98"/>
      <c r="M20" s="98"/>
    </row>
    <row r="21" spans="1:17" ht="15.75" hidden="1" thickBot="1" x14ac:dyDescent="0.3">
      <c r="A21" s="74" t="s">
        <v>6</v>
      </c>
      <c r="B21" s="76" t="str">
        <f t="shared" ref="B21:B31" si="2">B22</f>
        <v>Show</v>
      </c>
      <c r="C21" s="74" t="s">
        <v>1481</v>
      </c>
      <c r="E21" s="74" t="str">
        <f>E12</f>
        <v>A107495</v>
      </c>
      <c r="F21" s="74" t="str">
        <f>F12</f>
        <v>ITPN-207417</v>
      </c>
      <c r="I21" s="98"/>
      <c r="J21" s="98"/>
      <c r="K21" s="98"/>
      <c r="L21" s="98"/>
      <c r="M21" s="98"/>
    </row>
    <row r="22" spans="1:17" ht="15.75" hidden="1" thickBot="1" x14ac:dyDescent="0.3">
      <c r="A22" s="74" t="s">
        <v>6</v>
      </c>
      <c r="B22" s="76" t="str">
        <f t="shared" si="2"/>
        <v>Show</v>
      </c>
      <c r="E22" s="92" t="s">
        <v>1479</v>
      </c>
      <c r="F22" s="92" t="s">
        <v>1478</v>
      </c>
      <c r="I22" s="98"/>
      <c r="J22" s="98"/>
      <c r="K22" s="98"/>
      <c r="L22" s="98"/>
      <c r="M22" s="98"/>
    </row>
    <row r="23" spans="1:17" x14ac:dyDescent="0.25">
      <c r="B23" s="76" t="str">
        <f t="shared" si="2"/>
        <v>Show</v>
      </c>
      <c r="E23" s="101" t="s">
        <v>20</v>
      </c>
      <c r="F23" s="184" t="s">
        <v>179</v>
      </c>
      <c r="G23" s="185"/>
      <c r="H23" s="185"/>
      <c r="I23" s="185"/>
      <c r="J23" s="185"/>
      <c r="K23" s="185"/>
      <c r="L23" s="185"/>
      <c r="M23" s="186"/>
    </row>
    <row r="24" spans="1:17" x14ac:dyDescent="0.25">
      <c r="B24" s="76" t="str">
        <f t="shared" si="2"/>
        <v>Show</v>
      </c>
      <c r="F24" s="187"/>
      <c r="G24" s="188"/>
      <c r="H24" s="188"/>
      <c r="I24" s="188"/>
      <c r="J24" s="188"/>
      <c r="K24" s="188"/>
      <c r="L24" s="188"/>
      <c r="M24" s="189"/>
    </row>
    <row r="25" spans="1:17" ht="15.75" thickBot="1" x14ac:dyDescent="0.3">
      <c r="B25" s="76" t="str">
        <f t="shared" si="2"/>
        <v>Show</v>
      </c>
      <c r="F25" s="190"/>
      <c r="G25" s="191"/>
      <c r="H25" s="191"/>
      <c r="I25" s="191"/>
      <c r="J25" s="191"/>
      <c r="K25" s="191"/>
      <c r="L25" s="191"/>
      <c r="M25" s="192"/>
    </row>
    <row r="26" spans="1:17" x14ac:dyDescent="0.25">
      <c r="B26" s="76" t="str">
        <f t="shared" si="2"/>
        <v>Show</v>
      </c>
    </row>
    <row r="27" spans="1:17" x14ac:dyDescent="0.25">
      <c r="B27" s="76" t="str">
        <f t="shared" si="2"/>
        <v>Show</v>
      </c>
      <c r="E27" s="101" t="s">
        <v>33</v>
      </c>
      <c r="F27" s="100"/>
      <c r="G27" s="102"/>
      <c r="H27" s="101" t="s">
        <v>53</v>
      </c>
      <c r="I27" s="100"/>
      <c r="J27" s="100"/>
      <c r="K27" s="100"/>
    </row>
    <row r="28" spans="1:17" x14ac:dyDescent="0.25">
      <c r="B28" s="76" t="str">
        <f t="shared" si="2"/>
        <v>Show</v>
      </c>
      <c r="E28" s="101"/>
    </row>
    <row r="29" spans="1:17" x14ac:dyDescent="0.25">
      <c r="B29" s="76" t="str">
        <f t="shared" si="2"/>
        <v>Show</v>
      </c>
      <c r="E29" s="101" t="s">
        <v>32</v>
      </c>
      <c r="F29" s="100"/>
      <c r="G29" s="102"/>
      <c r="H29" s="101" t="s">
        <v>54</v>
      </c>
      <c r="I29" s="100"/>
      <c r="J29" s="100"/>
      <c r="K29" s="100"/>
    </row>
    <row r="30" spans="1:17" x14ac:dyDescent="0.25">
      <c r="B30" s="76" t="str">
        <f t="shared" si="2"/>
        <v>Show</v>
      </c>
      <c r="C30" s="74" t="s">
        <v>52</v>
      </c>
      <c r="D30" s="74" t="s">
        <v>52</v>
      </c>
      <c r="F30" s="99"/>
      <c r="I30" s="98"/>
      <c r="J30" s="98"/>
      <c r="K30" s="98"/>
      <c r="L30" s="98"/>
      <c r="M30" s="98"/>
    </row>
    <row r="31" spans="1:17" s="75" customFormat="1" ht="15.95" customHeight="1" x14ac:dyDescent="0.25">
      <c r="A31" s="97"/>
      <c r="B31" s="76" t="str">
        <f t="shared" si="2"/>
        <v>Show</v>
      </c>
      <c r="C31" s="96" t="s">
        <v>79</v>
      </c>
      <c r="D31" s="94" t="s">
        <v>28</v>
      </c>
      <c r="E31" s="94" t="s">
        <v>26</v>
      </c>
      <c r="F31" s="94" t="s">
        <v>29</v>
      </c>
      <c r="G31" s="94" t="s">
        <v>57</v>
      </c>
      <c r="H31" s="94" t="s">
        <v>27</v>
      </c>
      <c r="I31" s="94" t="s">
        <v>25</v>
      </c>
      <c r="J31" s="94" t="s">
        <v>10</v>
      </c>
      <c r="K31" s="94" t="s">
        <v>24</v>
      </c>
      <c r="L31" s="95"/>
      <c r="M31" s="94" t="s">
        <v>31</v>
      </c>
      <c r="N31" s="93" t="s">
        <v>21</v>
      </c>
      <c r="O31" s="93" t="s">
        <v>22</v>
      </c>
      <c r="P31" s="93" t="s">
        <v>23</v>
      </c>
      <c r="Q31" s="93"/>
    </row>
    <row r="32" spans="1:17" ht="24.95" customHeight="1" x14ac:dyDescent="0.25">
      <c r="B32" s="92" t="str">
        <f>IF(I32="","Hide","Show")</f>
        <v>Show</v>
      </c>
      <c r="C32" s="74" t="s">
        <v>1487</v>
      </c>
      <c r="D32" s="89" t="str">
        <f>"E-TALL-02"</f>
        <v>E-TALL-02</v>
      </c>
      <c r="E32" s="89" t="str">
        <f>"P00193152"</f>
        <v>P00193152</v>
      </c>
      <c r="F32" s="89" t="str">
        <f>"1000001524"</f>
        <v>1000001524</v>
      </c>
      <c r="G32" s="91" t="s">
        <v>1482</v>
      </c>
      <c r="H32" s="90" t="str">
        <f>"CHIPS, ASSORTED, SMALL BOX"</f>
        <v>CHIPS, ASSORTED, SMALL BOX</v>
      </c>
      <c r="I32" s="89">
        <v>23</v>
      </c>
      <c r="J32" s="89" t="str">
        <f t="shared" ref="J32:J49" si="3">"CS"</f>
        <v>CS</v>
      </c>
      <c r="K32" s="88"/>
      <c r="L32" s="87"/>
      <c r="M32" s="87"/>
      <c r="N32" s="85" t="s">
        <v>179</v>
      </c>
      <c r="O32" s="85">
        <v>115</v>
      </c>
      <c r="P32" s="85" t="str">
        <f t="shared" ref="P32:P40" si="4">"DRY"</f>
        <v>DRY</v>
      </c>
      <c r="Q32" s="86" t="s">
        <v>56</v>
      </c>
    </row>
    <row r="33" spans="1:17" ht="24.95" customHeight="1" x14ac:dyDescent="0.25">
      <c r="A33" s="74" t="s">
        <v>174</v>
      </c>
      <c r="B33" s="92" t="str">
        <f t="shared" ref="B33:B49" si="5">IF(I33="","Hide","Show")</f>
        <v>Show</v>
      </c>
      <c r="C33" s="74" t="str">
        <f>"""Ceres NTFB Live"",""NTFB Live"",""5767"",""1"",""Invt. Pick"",""2"",""ITPN-207423"",""3"",""31000"""</f>
        <v>"Ceres NTFB Live","NTFB Live","5767","1","Invt. Pick","2","ITPN-207423","3","31000"</v>
      </c>
      <c r="D33" s="89" t="str">
        <f>"02-05-01"</f>
        <v>02-05-01</v>
      </c>
      <c r="E33" s="89" t="str">
        <f>"P00184029"</f>
        <v>P00184029</v>
      </c>
      <c r="F33" s="89" t="str">
        <f>"1000002049"</f>
        <v>1000002049</v>
      </c>
      <c r="G33" s="91" t="s">
        <v>1482</v>
      </c>
      <c r="H33" s="90" t="str">
        <f>"BEVERAGES, ASSORTED DRY BEVERAGES - 15#"</f>
        <v>BEVERAGES, ASSORTED DRY BEVERAGES - 15#</v>
      </c>
      <c r="I33" s="89">
        <v>12</v>
      </c>
      <c r="J33" s="89" t="str">
        <f t="shared" si="3"/>
        <v>CS</v>
      </c>
      <c r="K33" s="88"/>
      <c r="L33" s="87"/>
      <c r="M33" s="87"/>
      <c r="N33" s="85" t="s">
        <v>179</v>
      </c>
      <c r="O33" s="85">
        <v>180</v>
      </c>
      <c r="P33" s="85" t="str">
        <f t="shared" si="4"/>
        <v>DRY</v>
      </c>
      <c r="Q33" s="86" t="s">
        <v>56</v>
      </c>
    </row>
    <row r="34" spans="1:17" ht="24.95" customHeight="1" x14ac:dyDescent="0.25">
      <c r="A34" s="74" t="s">
        <v>174</v>
      </c>
      <c r="B34" s="92" t="str">
        <f t="shared" si="5"/>
        <v>Show</v>
      </c>
      <c r="C34" s="74" t="str">
        <f>"""Ceres NTFB Live"",""NTFB Live"",""5767"",""1"",""Invt. Pick"",""2"",""ITPN-207417"",""3"",""131000"""</f>
        <v>"Ceres NTFB Live","NTFB Live","5767","1","Invt. Pick","2","ITPN-207417","3","131000"</v>
      </c>
      <c r="D34" s="89" t="str">
        <f>"02-06-01"</f>
        <v>02-06-01</v>
      </c>
      <c r="E34" s="89" t="str">
        <f>"P00189661"</f>
        <v>P00189661</v>
      </c>
      <c r="F34" s="89" t="str">
        <f>"1000000500"</f>
        <v>1000000500</v>
      </c>
      <c r="G34" s="91" t="s">
        <v>1483</v>
      </c>
      <c r="H34" s="90" t="str">
        <f>"BREAKFAST, ASSORTED"</f>
        <v>BREAKFAST, ASSORTED</v>
      </c>
      <c r="I34" s="89">
        <v>24</v>
      </c>
      <c r="J34" s="89" t="str">
        <f t="shared" si="3"/>
        <v>CS</v>
      </c>
      <c r="K34" s="88"/>
      <c r="L34" s="87"/>
      <c r="M34" s="87"/>
      <c r="N34" s="85" t="s">
        <v>179</v>
      </c>
      <c r="O34" s="85">
        <v>360</v>
      </c>
      <c r="P34" s="85" t="str">
        <f t="shared" si="4"/>
        <v>DRY</v>
      </c>
      <c r="Q34" s="86" t="s">
        <v>56</v>
      </c>
    </row>
    <row r="35" spans="1:17" ht="24.95" customHeight="1" x14ac:dyDescent="0.25">
      <c r="A35" s="74" t="s">
        <v>174</v>
      </c>
      <c r="B35" s="92" t="str">
        <f t="shared" si="5"/>
        <v>Show</v>
      </c>
      <c r="C35" s="74" t="str">
        <f>"""Ceres NTFB Live"",""NTFB Live"",""5767"",""1"",""Invt. Pick"",""2"",""ITPN-207417"",""3"",""151000"""</f>
        <v>"Ceres NTFB Live","NTFB Live","5767","1","Invt. Pick","2","ITPN-207417","3","151000"</v>
      </c>
      <c r="D35" s="89" t="str">
        <f>"03-07-01"</f>
        <v>03-07-01</v>
      </c>
      <c r="E35" s="89" t="str">
        <f>"P00183966"</f>
        <v>P00183966</v>
      </c>
      <c r="F35" s="89" t="str">
        <f>"1000000138"</f>
        <v>1000000138</v>
      </c>
      <c r="G35" s="91" t="s">
        <v>1483</v>
      </c>
      <c r="H35" s="90" t="str">
        <f>"MEAT, ASSORTED CANNED"</f>
        <v>MEAT, ASSORTED CANNED</v>
      </c>
      <c r="I35" s="89">
        <v>3</v>
      </c>
      <c r="J35" s="89" t="str">
        <f t="shared" si="3"/>
        <v>CS</v>
      </c>
      <c r="K35" s="88"/>
      <c r="L35" s="87"/>
      <c r="M35" s="87"/>
      <c r="N35" s="85" t="s">
        <v>179</v>
      </c>
      <c r="O35" s="85">
        <v>60</v>
      </c>
      <c r="P35" s="85" t="str">
        <f t="shared" si="4"/>
        <v>DRY</v>
      </c>
      <c r="Q35" s="86" t="s">
        <v>56</v>
      </c>
    </row>
    <row r="36" spans="1:17" ht="24.95" customHeight="1" x14ac:dyDescent="0.25">
      <c r="A36" s="74" t="s">
        <v>174</v>
      </c>
      <c r="B36" s="92" t="str">
        <f t="shared" si="5"/>
        <v>Show</v>
      </c>
      <c r="C36" s="74" t="str">
        <f>"""Ceres NTFB Live"",""NTFB Live"",""5767"",""1"",""Invt. Pick"",""2"",""ITPN-207417"",""3"",""30000"""</f>
        <v>"Ceres NTFB Live","NTFB Live","5767","1","Invt. Pick","2","ITPN-207417","3","30000"</v>
      </c>
      <c r="D36" s="89" t="str">
        <f>"04-10-01"</f>
        <v>04-10-01</v>
      </c>
      <c r="E36" s="89" t="str">
        <f>"P00186004"</f>
        <v>P00186004</v>
      </c>
      <c r="F36" s="89" t="str">
        <f>"1000000820"</f>
        <v>1000000820</v>
      </c>
      <c r="G36" s="91" t="s">
        <v>1483</v>
      </c>
      <c r="H36" s="90" t="str">
        <f>"ASSORTED FOOD (DRY) - ASFODNO - 20#"</f>
        <v>ASSORTED FOOD (DRY) - ASFODNO - 20#</v>
      </c>
      <c r="I36" s="89">
        <v>16</v>
      </c>
      <c r="J36" s="89" t="str">
        <f t="shared" si="3"/>
        <v>CS</v>
      </c>
      <c r="K36" s="88"/>
      <c r="L36" s="87"/>
      <c r="M36" s="87"/>
      <c r="N36" s="85" t="s">
        <v>179</v>
      </c>
      <c r="O36" s="85">
        <v>320</v>
      </c>
      <c r="P36" s="85" t="str">
        <f t="shared" si="4"/>
        <v>DRY</v>
      </c>
      <c r="Q36" s="86" t="s">
        <v>56</v>
      </c>
    </row>
    <row r="37" spans="1:17" ht="24.95" customHeight="1" x14ac:dyDescent="0.25">
      <c r="A37" s="74" t="s">
        <v>174</v>
      </c>
      <c r="B37" s="92" t="str">
        <f t="shared" si="5"/>
        <v>Show</v>
      </c>
      <c r="C37" s="74" t="str">
        <f>"""Ceres NTFB Live"",""NTFB Live"",""5767"",""1"",""Invt. Pick"",""2"",""ITPN-207425"",""3"",""31000"""</f>
        <v>"Ceres NTFB Live","NTFB Live","5767","1","Invt. Pick","2","ITPN-207425","3","31000"</v>
      </c>
      <c r="D37" s="89" t="str">
        <f>"04-31-01"</f>
        <v>04-31-01</v>
      </c>
      <c r="E37" s="89" t="str">
        <f>"P00193742"</f>
        <v>P00193742</v>
      </c>
      <c r="F37" s="89" t="str">
        <f>"1000003673"</f>
        <v>1000003673</v>
      </c>
      <c r="G37" s="91" t="s">
        <v>1484</v>
      </c>
      <c r="H37" s="90" t="str">
        <f>"JUICE, V8 HOT TOMATO JUICE"</f>
        <v>JUICE, V8 HOT TOMATO JUICE</v>
      </c>
      <c r="I37" s="89">
        <v>35</v>
      </c>
      <c r="J37" s="89" t="str">
        <f t="shared" si="3"/>
        <v>CS</v>
      </c>
      <c r="K37" s="88"/>
      <c r="L37" s="87"/>
      <c r="M37" s="87"/>
      <c r="N37" s="85" t="s">
        <v>179</v>
      </c>
      <c r="O37" s="85">
        <v>700</v>
      </c>
      <c r="P37" s="85" t="str">
        <f t="shared" si="4"/>
        <v>DRY</v>
      </c>
      <c r="Q37" s="86" t="s">
        <v>56</v>
      </c>
    </row>
    <row r="38" spans="1:17" ht="24.95" customHeight="1" x14ac:dyDescent="0.25">
      <c r="A38" s="74" t="s">
        <v>174</v>
      </c>
      <c r="B38" s="92" t="str">
        <f t="shared" si="5"/>
        <v>Show</v>
      </c>
      <c r="C38" s="74" t="str">
        <f>"""Ceres NTFB Live"",""NTFB Live"",""5767"",""1"",""Invt. Pick"",""2"",""ITPN-207417"",""3"",""40000"""</f>
        <v>"Ceres NTFB Live","NTFB Live","5767","1","Invt. Pick","2","ITPN-207417","3","40000"</v>
      </c>
      <c r="D38" s="89" t="str">
        <f>"05-26-01"</f>
        <v>05-26-01</v>
      </c>
      <c r="E38" s="89" t="str">
        <f>"P00180072"</f>
        <v>P00180072</v>
      </c>
      <c r="F38" s="89" t="str">
        <f>"1000003354"</f>
        <v>1000003354</v>
      </c>
      <c r="G38" s="91" t="s">
        <v>1483</v>
      </c>
      <c r="H38" s="90" t="str">
        <f>"PET:  CAT FOOD "</f>
        <v xml:space="preserve">PET:  CAT FOOD </v>
      </c>
      <c r="I38" s="89">
        <v>39</v>
      </c>
      <c r="J38" s="89" t="str">
        <f t="shared" si="3"/>
        <v>CS</v>
      </c>
      <c r="K38" s="88"/>
      <c r="L38" s="87"/>
      <c r="M38" s="87"/>
      <c r="N38" s="85" t="s">
        <v>179</v>
      </c>
      <c r="O38" s="85">
        <v>175.5</v>
      </c>
      <c r="P38" s="85" t="str">
        <f t="shared" si="4"/>
        <v>DRY</v>
      </c>
      <c r="Q38" s="86" t="s">
        <v>56</v>
      </c>
    </row>
    <row r="39" spans="1:17" ht="24.95" customHeight="1" x14ac:dyDescent="0.25">
      <c r="A39" s="74" t="s">
        <v>174</v>
      </c>
      <c r="B39" s="92" t="str">
        <f t="shared" si="5"/>
        <v>Show</v>
      </c>
      <c r="C39" s="74" t="str">
        <f>"""Ceres NTFB Live"",""NTFB Live"",""5767"",""1"",""Invt. Pick"",""2"",""ITPN-207417"",""3"",""60000"""</f>
        <v>"Ceres NTFB Live","NTFB Live","5767","1","Invt. Pick","2","ITPN-207417","3","60000"</v>
      </c>
      <c r="D39" s="89" t="str">
        <f>"05-32-01"</f>
        <v>05-32-01</v>
      </c>
      <c r="E39" s="89" t="str">
        <f>"P00180071"</f>
        <v>P00180071</v>
      </c>
      <c r="F39" s="89" t="str">
        <f>"1000003354"</f>
        <v>1000003354</v>
      </c>
      <c r="G39" s="91" t="s">
        <v>1483</v>
      </c>
      <c r="H39" s="90" t="str">
        <f>"PET:  CAT FOOD "</f>
        <v xml:space="preserve">PET:  CAT FOOD </v>
      </c>
      <c r="I39" s="89">
        <v>11</v>
      </c>
      <c r="J39" s="89" t="str">
        <f t="shared" si="3"/>
        <v>CS</v>
      </c>
      <c r="K39" s="88"/>
      <c r="L39" s="87"/>
      <c r="M39" s="87"/>
      <c r="N39" s="85" t="s">
        <v>179</v>
      </c>
      <c r="O39" s="85">
        <v>49.5</v>
      </c>
      <c r="P39" s="85" t="str">
        <f t="shared" si="4"/>
        <v>DRY</v>
      </c>
      <c r="Q39" s="86" t="s">
        <v>56</v>
      </c>
    </row>
    <row r="40" spans="1:17" ht="24.95" customHeight="1" x14ac:dyDescent="0.25">
      <c r="A40" s="74" t="s">
        <v>174</v>
      </c>
      <c r="B40" s="92" t="str">
        <f t="shared" si="5"/>
        <v>Show</v>
      </c>
      <c r="C40" s="74" t="str">
        <f>"""Ceres NTFB Live"",""NTFB Live"",""5767"",""1"",""Invt. Pick"",""2"",""ITPN-207417"",""3"",""10000"""</f>
        <v>"Ceres NTFB Live","NTFB Live","5767","1","Invt. Pick","2","ITPN-207417","3","10000"</v>
      </c>
      <c r="D40" s="89" t="str">
        <f>"06-04-01"</f>
        <v>06-04-01</v>
      </c>
      <c r="E40" s="89" t="str">
        <f>"P00186002"</f>
        <v>P00186002</v>
      </c>
      <c r="F40" s="89" t="str">
        <f>"1000000820"</f>
        <v>1000000820</v>
      </c>
      <c r="G40" s="91" t="s">
        <v>1483</v>
      </c>
      <c r="H40" s="90" t="str">
        <f>"ASSORTED FOOD (DRY) - ASFODNO - 20#"</f>
        <v>ASSORTED FOOD (DRY) - ASFODNO - 20#</v>
      </c>
      <c r="I40" s="89">
        <v>5</v>
      </c>
      <c r="J40" s="89" t="str">
        <f t="shared" si="3"/>
        <v>CS</v>
      </c>
      <c r="K40" s="88"/>
      <c r="L40" s="87"/>
      <c r="M40" s="87"/>
      <c r="N40" s="85" t="s">
        <v>179</v>
      </c>
      <c r="O40" s="85">
        <v>100</v>
      </c>
      <c r="P40" s="85" t="str">
        <f t="shared" si="4"/>
        <v>DRY</v>
      </c>
      <c r="Q40" s="86" t="s">
        <v>56</v>
      </c>
    </row>
    <row r="41" spans="1:17" ht="24.95" customHeight="1" x14ac:dyDescent="0.25">
      <c r="A41" s="74" t="s">
        <v>174</v>
      </c>
      <c r="B41" s="92" t="str">
        <f t="shared" si="5"/>
        <v>Show</v>
      </c>
      <c r="C41" s="74" t="str">
        <f>"""Ceres NTFB Live"",""NTFB Live"",""5767"",""1"",""Invt. Pick"",""2"",""ITPN-207419"",""3"",""90000"""</f>
        <v>"Ceres NTFB Live","NTFB Live","5767","1","Invt. Pick","2","ITPN-207419","3","90000"</v>
      </c>
      <c r="D41" s="89" t="str">
        <f>"33-03-01"</f>
        <v>33-03-01</v>
      </c>
      <c r="E41" s="89" t="str">
        <f>"P00187848"</f>
        <v>P00187848</v>
      </c>
      <c r="F41" s="89" t="str">
        <f>"1000000005"</f>
        <v>1000000005</v>
      </c>
      <c r="G41" s="91" t="s">
        <v>1485</v>
      </c>
      <c r="H41" s="90" t="str">
        <f>"USDA RICE"</f>
        <v>USDA RICE</v>
      </c>
      <c r="I41" s="89">
        <v>4</v>
      </c>
      <c r="J41" s="89" t="str">
        <f t="shared" si="3"/>
        <v>CS</v>
      </c>
      <c r="K41" s="88"/>
      <c r="L41" s="87"/>
      <c r="M41" s="87"/>
      <c r="N41" s="85" t="s">
        <v>179</v>
      </c>
      <c r="O41" s="85">
        <v>240</v>
      </c>
      <c r="P41" s="85" t="str">
        <f t="shared" ref="P41:P49" si="6">"DRYUSDA"</f>
        <v>DRYUSDA</v>
      </c>
      <c r="Q41" s="86" t="s">
        <v>56</v>
      </c>
    </row>
    <row r="42" spans="1:17" ht="24.95" customHeight="1" x14ac:dyDescent="0.25">
      <c r="A42" s="74" t="s">
        <v>174</v>
      </c>
      <c r="B42" s="92" t="str">
        <f t="shared" si="5"/>
        <v>Show</v>
      </c>
      <c r="C42" s="74" t="str">
        <f>"""Ceres NTFB Live"",""NTFB Live"",""5767"",""1"",""Invt. Pick"",""2"",""ITPN-207417"",""3"",""70000"""</f>
        <v>"Ceres NTFB Live","NTFB Live","5767","1","Invt. Pick","2","ITPN-207417","3","70000"</v>
      </c>
      <c r="D42" s="89" t="str">
        <f>"33-09-01"</f>
        <v>33-09-01</v>
      </c>
      <c r="E42" s="89" t="str">
        <f>"P00187845"</f>
        <v>P00187845</v>
      </c>
      <c r="F42" s="89" t="str">
        <f>"1000000005"</f>
        <v>1000000005</v>
      </c>
      <c r="G42" s="91" t="s">
        <v>1483</v>
      </c>
      <c r="H42" s="90" t="str">
        <f>"USDA RICE"</f>
        <v>USDA RICE</v>
      </c>
      <c r="I42" s="89">
        <v>4</v>
      </c>
      <c r="J42" s="89" t="str">
        <f t="shared" si="3"/>
        <v>CS</v>
      </c>
      <c r="K42" s="88"/>
      <c r="L42" s="87"/>
      <c r="M42" s="87"/>
      <c r="N42" s="85" t="s">
        <v>179</v>
      </c>
      <c r="O42" s="85">
        <v>240</v>
      </c>
      <c r="P42" s="85" t="str">
        <f t="shared" si="6"/>
        <v>DRYUSDA</v>
      </c>
      <c r="Q42" s="86" t="s">
        <v>56</v>
      </c>
    </row>
    <row r="43" spans="1:17" ht="24.95" customHeight="1" x14ac:dyDescent="0.25">
      <c r="A43" s="74" t="s">
        <v>174</v>
      </c>
      <c r="B43" s="92" t="str">
        <f t="shared" si="5"/>
        <v>Show</v>
      </c>
      <c r="C43" s="74" t="str">
        <f>"""Ceres NTFB Live"",""NTFB Live"",""5767"",""1"",""Invt. Pick"",""2"",""ITPN-207419"",""3"",""91000"""</f>
        <v>"Ceres NTFB Live","NTFB Live","5767","1","Invt. Pick","2","ITPN-207419","3","91000"</v>
      </c>
      <c r="D43" s="89" t="str">
        <f>"34-02-01"</f>
        <v>34-02-01</v>
      </c>
      <c r="E43" s="89" t="str">
        <f>"P00192104"</f>
        <v>P00192104</v>
      </c>
      <c r="F43" s="89" t="str">
        <f>"1000000271"</f>
        <v>1000000271</v>
      </c>
      <c r="G43" s="91" t="s">
        <v>1485</v>
      </c>
      <c r="H43" s="90" t="str">
        <f>"USDA PINTO BEANS"</f>
        <v>USDA PINTO BEANS</v>
      </c>
      <c r="I43" s="89">
        <v>1</v>
      </c>
      <c r="J43" s="89" t="str">
        <f t="shared" si="3"/>
        <v>CS</v>
      </c>
      <c r="K43" s="88"/>
      <c r="L43" s="87"/>
      <c r="M43" s="87"/>
      <c r="N43" s="85" t="s">
        <v>179</v>
      </c>
      <c r="O43" s="85">
        <v>24</v>
      </c>
      <c r="P43" s="85" t="str">
        <f t="shared" si="6"/>
        <v>DRYUSDA</v>
      </c>
      <c r="Q43" s="86" t="s">
        <v>56</v>
      </c>
    </row>
    <row r="44" spans="1:17" ht="24.95" customHeight="1" x14ac:dyDescent="0.25">
      <c r="A44" s="74" t="s">
        <v>174</v>
      </c>
      <c r="B44" s="92" t="str">
        <f t="shared" si="5"/>
        <v>Show</v>
      </c>
      <c r="C44" s="74" t="str">
        <f>"""Ceres NTFB Live"",""NTFB Live"",""5767"",""1"",""Invt. Pick"",""2"",""ITPN-207419"",""3"",""81000"""</f>
        <v>"Ceres NTFB Live","NTFB Live","5767","1","Invt. Pick","2","ITPN-207419","3","81000"</v>
      </c>
      <c r="D44" s="89" t="str">
        <f>"34-06-01"</f>
        <v>34-06-01</v>
      </c>
      <c r="E44" s="89" t="str">
        <f>"P00192103"</f>
        <v>P00192103</v>
      </c>
      <c r="F44" s="89" t="str">
        <f>"1000000271"</f>
        <v>1000000271</v>
      </c>
      <c r="G44" s="91" t="s">
        <v>1485</v>
      </c>
      <c r="H44" s="90" t="str">
        <f>"USDA PINTO BEANS"</f>
        <v>USDA PINTO BEANS</v>
      </c>
      <c r="I44" s="89">
        <v>19</v>
      </c>
      <c r="J44" s="89" t="str">
        <f t="shared" si="3"/>
        <v>CS</v>
      </c>
      <c r="K44" s="88"/>
      <c r="L44" s="87"/>
      <c r="M44" s="87"/>
      <c r="N44" s="85" t="s">
        <v>179</v>
      </c>
      <c r="O44" s="85">
        <v>456</v>
      </c>
      <c r="P44" s="85" t="str">
        <f t="shared" si="6"/>
        <v>DRYUSDA</v>
      </c>
      <c r="Q44" s="86" t="s">
        <v>56</v>
      </c>
    </row>
    <row r="45" spans="1:17" ht="24.95" customHeight="1" x14ac:dyDescent="0.25">
      <c r="A45" s="74" t="s">
        <v>174</v>
      </c>
      <c r="B45" s="92" t="str">
        <f t="shared" si="5"/>
        <v>Show</v>
      </c>
      <c r="C45" s="74" t="str">
        <f>"""Ceres NTFB Live"",""NTFB Live"",""5767"",""1"",""Invt. Pick"",""2"",""ITPN-207418"",""3"",""81000"""</f>
        <v>"Ceres NTFB Live","NTFB Live","5767","1","Invt. Pick","2","ITPN-207418","3","81000"</v>
      </c>
      <c r="D45" s="89" t="str">
        <f>"34-08-01"</f>
        <v>34-08-01</v>
      </c>
      <c r="E45" s="89" t="str">
        <f>"P00190060"</f>
        <v>P00190060</v>
      </c>
      <c r="F45" s="89" t="str">
        <f>"1000000133"</f>
        <v>1000000133</v>
      </c>
      <c r="G45" s="91" t="s">
        <v>1486</v>
      </c>
      <c r="H45" s="90" t="str">
        <f>"USDA GREAT NORTHERN BEANS"</f>
        <v>USDA GREAT NORTHERN BEANS</v>
      </c>
      <c r="I45" s="89">
        <v>6</v>
      </c>
      <c r="J45" s="89" t="str">
        <f t="shared" si="3"/>
        <v>CS</v>
      </c>
      <c r="K45" s="88"/>
      <c r="L45" s="87"/>
      <c r="M45" s="87"/>
      <c r="N45" s="85" t="s">
        <v>179</v>
      </c>
      <c r="O45" s="85">
        <v>350</v>
      </c>
      <c r="P45" s="85" t="str">
        <f t="shared" si="6"/>
        <v>DRYUSDA</v>
      </c>
      <c r="Q45" s="86" t="s">
        <v>56</v>
      </c>
    </row>
    <row r="46" spans="1:17" ht="24.95" customHeight="1" x14ac:dyDescent="0.25">
      <c r="A46" s="74" t="s">
        <v>174</v>
      </c>
      <c r="B46" s="92" t="str">
        <f t="shared" si="5"/>
        <v>Show</v>
      </c>
      <c r="C46" s="74" t="str">
        <f>"""Ceres NTFB Live"",""NTFB Live"",""5767"",""1"",""Invt. Pick"",""2"",""ITPN-207419"",""3"",""191000"""</f>
        <v>"Ceres NTFB Live","NTFB Live","5767","1","Invt. Pick","2","ITPN-207419","3","191000"</v>
      </c>
      <c r="D46" s="89" t="str">
        <f>"35-05-01"</f>
        <v>35-05-01</v>
      </c>
      <c r="E46" s="89" t="str">
        <f>"P00189267"</f>
        <v>P00189267</v>
      </c>
      <c r="F46" s="89" t="str">
        <f>"1000000466"</f>
        <v>1000000466</v>
      </c>
      <c r="G46" s="91" t="s">
        <v>1485</v>
      </c>
      <c r="H46" s="90" t="str">
        <f>"USDA LIGHT RED KIDNEY BEANS, CANNED"</f>
        <v>USDA LIGHT RED KIDNEY BEANS, CANNED</v>
      </c>
      <c r="I46" s="89">
        <v>10</v>
      </c>
      <c r="J46" s="89" t="str">
        <f t="shared" si="3"/>
        <v>CS</v>
      </c>
      <c r="K46" s="88"/>
      <c r="L46" s="87"/>
      <c r="M46" s="87"/>
      <c r="N46" s="85" t="s">
        <v>179</v>
      </c>
      <c r="O46" s="85">
        <v>225</v>
      </c>
      <c r="P46" s="85" t="str">
        <f t="shared" si="6"/>
        <v>DRYUSDA</v>
      </c>
      <c r="Q46" s="86" t="s">
        <v>56</v>
      </c>
    </row>
    <row r="47" spans="1:17" ht="24.95" customHeight="1" x14ac:dyDescent="0.25">
      <c r="A47" s="74" t="s">
        <v>174</v>
      </c>
      <c r="B47" s="92" t="str">
        <f t="shared" si="5"/>
        <v>Show</v>
      </c>
      <c r="C47" s="74" t="str">
        <f>"""Ceres NTFB Live"",""NTFB Live"",""5767"",""1"",""Invt. Pick"",""2"",""ITPN-207419"",""3"",""71000"""</f>
        <v>"Ceres NTFB Live","NTFB Live","5767","1","Invt. Pick","2","ITPN-207419","3","71000"</v>
      </c>
      <c r="D47" s="89" t="str">
        <f>"35-07-01"</f>
        <v>35-07-01</v>
      </c>
      <c r="E47" s="89" t="str">
        <f>"P00190102"</f>
        <v>P00190102</v>
      </c>
      <c r="F47" s="89" t="str">
        <f>"1000000133"</f>
        <v>1000000133</v>
      </c>
      <c r="G47" s="91" t="s">
        <v>1485</v>
      </c>
      <c r="H47" s="90" t="str">
        <f>"USDA GREAT NORTHERN BEANS"</f>
        <v>USDA GREAT NORTHERN BEANS</v>
      </c>
      <c r="I47" s="89">
        <v>14</v>
      </c>
      <c r="J47" s="89" t="str">
        <f t="shared" si="3"/>
        <v>CS</v>
      </c>
      <c r="K47" s="88"/>
      <c r="L47" s="87"/>
      <c r="M47" s="87"/>
      <c r="N47" s="85" t="s">
        <v>179</v>
      </c>
      <c r="O47" s="85">
        <v>350</v>
      </c>
      <c r="P47" s="85" t="str">
        <f t="shared" si="6"/>
        <v>DRYUSDA</v>
      </c>
      <c r="Q47" s="86" t="s">
        <v>56</v>
      </c>
    </row>
    <row r="48" spans="1:17" ht="24.95" customHeight="1" x14ac:dyDescent="0.25">
      <c r="A48" s="74" t="s">
        <v>174</v>
      </c>
      <c r="B48" s="92" t="str">
        <f t="shared" si="5"/>
        <v>Show</v>
      </c>
      <c r="C48" s="74" t="str">
        <f>"""Ceres NTFB Live"",""NTFB Live"",""5767"",""1"",""Invt. Pick"",""2"",""ITPN-207419"",""3"",""171000"""</f>
        <v>"Ceres NTFB Live","NTFB Live","5767","1","Invt. Pick","2","ITPN-207419","3","171000"</v>
      </c>
      <c r="D48" s="89" t="str">
        <f>"36-06-01"</f>
        <v>36-06-01</v>
      </c>
      <c r="E48" s="89" t="str">
        <f>"P00191667"</f>
        <v>P00191667</v>
      </c>
      <c r="F48" s="89" t="str">
        <f>"1000000060"</f>
        <v>1000000060</v>
      </c>
      <c r="G48" s="91" t="s">
        <v>1485</v>
      </c>
      <c r="H48" s="90" t="str">
        <f>"USDA CARROTS, CANNED"</f>
        <v>USDA CARROTS, CANNED</v>
      </c>
      <c r="I48" s="89">
        <v>10</v>
      </c>
      <c r="J48" s="89" t="str">
        <f t="shared" si="3"/>
        <v>CS</v>
      </c>
      <c r="K48" s="88"/>
      <c r="L48" s="87"/>
      <c r="M48" s="87"/>
      <c r="N48" s="85" t="s">
        <v>179</v>
      </c>
      <c r="O48" s="85">
        <v>220</v>
      </c>
      <c r="P48" s="85" t="str">
        <f t="shared" si="6"/>
        <v>DRYUSDA</v>
      </c>
      <c r="Q48" s="86" t="s">
        <v>56</v>
      </c>
    </row>
    <row r="49" spans="1:17" ht="24.95" customHeight="1" x14ac:dyDescent="0.25">
      <c r="A49" s="74" t="s">
        <v>174</v>
      </c>
      <c r="B49" s="92" t="str">
        <f t="shared" si="5"/>
        <v>Show</v>
      </c>
      <c r="C49" s="74" t="str">
        <f>"""Ceres NTFB Live"",""NTFB Live"",""5767"",""1"",""Invt. Pick"",""2"",""ITPN-207419"",""3"",""111000"""</f>
        <v>"Ceres NTFB Live","NTFB Live","5767","1","Invt. Pick","2","ITPN-207419","3","111000"</v>
      </c>
      <c r="D49" s="89" t="str">
        <f>"36-09-01"</f>
        <v>36-09-01</v>
      </c>
      <c r="E49" s="89" t="str">
        <f>"P00192117"</f>
        <v>P00192117</v>
      </c>
      <c r="F49" s="89" t="str">
        <f>"1000000562"</f>
        <v>1000000562</v>
      </c>
      <c r="G49" s="91" t="s">
        <v>1485</v>
      </c>
      <c r="H49" s="90" t="str">
        <f>"USDA SPAGHETTI, WHOLE WHEAT "</f>
        <v xml:space="preserve">USDA SPAGHETTI, WHOLE WHEAT </v>
      </c>
      <c r="I49" s="89">
        <v>20</v>
      </c>
      <c r="J49" s="89" t="str">
        <f t="shared" si="3"/>
        <v>CS</v>
      </c>
      <c r="K49" s="88"/>
      <c r="L49" s="87"/>
      <c r="M49" s="87"/>
      <c r="N49" s="85" t="s">
        <v>179</v>
      </c>
      <c r="O49" s="85">
        <v>500</v>
      </c>
      <c r="P49" s="85" t="str">
        <f t="shared" si="6"/>
        <v>DRYUSDA</v>
      </c>
      <c r="Q49" s="86" t="s">
        <v>56</v>
      </c>
    </row>
    <row r="50" spans="1:17" ht="15.75" thickBot="1" x14ac:dyDescent="0.3">
      <c r="B50" s="74" t="str">
        <f>B32</f>
        <v>Show</v>
      </c>
      <c r="H50" s="85"/>
      <c r="I50" s="85"/>
    </row>
    <row r="51" spans="1:17" ht="15.75" thickBot="1" x14ac:dyDescent="0.3">
      <c r="B51" s="74" t="str">
        <f>+B50</f>
        <v>Show</v>
      </c>
      <c r="D51" s="193" t="str">
        <f>+"END OF "&amp;D2</f>
        <v>END OF CHRISTIAN BENEVOLENT OUTREACH  (026637P) - DRY|DRYUSDA|MCTF PICK LIST</v>
      </c>
      <c r="E51" s="194"/>
      <c r="F51" s="194"/>
      <c r="G51" s="194"/>
      <c r="H51" s="194"/>
      <c r="I51" s="194"/>
      <c r="J51" s="194"/>
      <c r="K51" s="194"/>
      <c r="L51" s="194"/>
      <c r="M51" s="195"/>
    </row>
    <row r="52" spans="1:17" ht="15.75" thickBot="1" x14ac:dyDescent="0.3"/>
    <row r="53" spans="1:17" ht="80.099999999999994" customHeight="1" thickBot="1" x14ac:dyDescent="0.3">
      <c r="A53" s="76" t="s">
        <v>30</v>
      </c>
      <c r="D53" s="166" t="str">
        <f>+F6</f>
        <v>DELIVER</v>
      </c>
      <c r="E53" s="167"/>
      <c r="F53" s="167"/>
      <c r="G53" s="167"/>
      <c r="H53" s="167"/>
      <c r="I53" s="167"/>
      <c r="J53" s="167"/>
      <c r="K53" s="167"/>
      <c r="L53" s="167"/>
      <c r="M53" s="168"/>
    </row>
    <row r="54" spans="1:17" ht="36.75" x14ac:dyDescent="0.45">
      <c r="A54" s="76" t="s">
        <v>30</v>
      </c>
      <c r="D54" s="176" t="s">
        <v>12</v>
      </c>
      <c r="E54" s="177"/>
      <c r="F54" s="196" t="str">
        <f>+F4</f>
        <v>026637P</v>
      </c>
      <c r="G54" s="196"/>
      <c r="H54" s="196"/>
      <c r="I54" s="196"/>
      <c r="J54" s="196"/>
      <c r="K54" s="196"/>
      <c r="L54" s="196"/>
      <c r="M54" s="197"/>
    </row>
    <row r="55" spans="1:17" ht="37.5" customHeight="1" thickBot="1" x14ac:dyDescent="0.5">
      <c r="A55" s="76" t="s">
        <v>30</v>
      </c>
      <c r="D55" s="158" t="s">
        <v>5</v>
      </c>
      <c r="E55" s="159"/>
      <c r="F55" s="161" t="str">
        <f>+F5</f>
        <v>CHRISTIAN BENEVOLENT OUTREACH</v>
      </c>
      <c r="G55" s="161"/>
      <c r="H55" s="161"/>
      <c r="I55" s="161"/>
      <c r="J55" s="161"/>
      <c r="K55" s="161"/>
      <c r="L55" s="161"/>
      <c r="M55" s="162"/>
      <c r="N55" s="84"/>
      <c r="O55" s="84"/>
      <c r="P55" s="84"/>
    </row>
    <row r="56" spans="1:17" ht="33.75" hidden="1" thickBot="1" x14ac:dyDescent="0.45">
      <c r="A56" s="76" t="s">
        <v>19</v>
      </c>
      <c r="D56" s="172" t="s">
        <v>49</v>
      </c>
      <c r="E56" s="173"/>
      <c r="F56" s="82"/>
      <c r="G56" s="83"/>
      <c r="H56" s="82"/>
      <c r="I56" s="82"/>
      <c r="J56" s="82"/>
      <c r="K56" s="82"/>
      <c r="L56" s="82"/>
      <c r="M56" s="81"/>
    </row>
    <row r="57" spans="1:17" ht="30" hidden="1" customHeight="1" x14ac:dyDescent="0.25">
      <c r="A57" s="76" t="s">
        <v>19</v>
      </c>
      <c r="D57" s="80"/>
      <c r="E57" s="78"/>
      <c r="F57" s="174" t="s">
        <v>1481</v>
      </c>
      <c r="G57" s="174"/>
      <c r="H57" s="174"/>
      <c r="I57" s="174"/>
      <c r="J57" s="174"/>
      <c r="K57" s="174"/>
      <c r="L57" s="174"/>
      <c r="M57" s="175"/>
    </row>
    <row r="58" spans="1:17" ht="30" hidden="1" customHeight="1" x14ac:dyDescent="0.25">
      <c r="A58" s="76" t="s">
        <v>184</v>
      </c>
      <c r="D58" s="80"/>
      <c r="E58" s="78"/>
      <c r="F58" s="174" t="str">
        <f>"A107502"</f>
        <v>A107502</v>
      </c>
      <c r="G58" s="174"/>
      <c r="H58" s="174"/>
      <c r="I58" s="174"/>
      <c r="J58" s="174"/>
      <c r="K58" s="174"/>
      <c r="L58" s="174"/>
      <c r="M58" s="175"/>
    </row>
    <row r="59" spans="1:17" ht="30" hidden="1" customHeight="1" x14ac:dyDescent="0.25">
      <c r="A59" s="76" t="s">
        <v>184</v>
      </c>
      <c r="D59" s="80"/>
      <c r="E59" s="78"/>
      <c r="F59" s="174" t="str">
        <f>"A107580"</f>
        <v>A107580</v>
      </c>
      <c r="G59" s="174"/>
      <c r="H59" s="174"/>
      <c r="I59" s="174"/>
      <c r="J59" s="174"/>
      <c r="K59" s="174"/>
      <c r="L59" s="174"/>
      <c r="M59" s="175"/>
    </row>
    <row r="60" spans="1:17" ht="30" hidden="1" customHeight="1" x14ac:dyDescent="0.25">
      <c r="A60" s="76" t="s">
        <v>184</v>
      </c>
      <c r="D60" s="80"/>
      <c r="E60" s="78"/>
      <c r="F60" s="174" t="str">
        <f>"A107796"</f>
        <v>A107796</v>
      </c>
      <c r="G60" s="174"/>
      <c r="H60" s="174"/>
      <c r="I60" s="174"/>
      <c r="J60" s="174"/>
      <c r="K60" s="174"/>
      <c r="L60" s="174"/>
      <c r="M60" s="175"/>
    </row>
    <row r="61" spans="1:17" ht="15.75" hidden="1" customHeight="1" thickBot="1" x14ac:dyDescent="0.3">
      <c r="A61" s="76" t="s">
        <v>19</v>
      </c>
      <c r="D61" s="80"/>
      <c r="E61" s="78"/>
      <c r="F61" s="78"/>
      <c r="G61" s="79"/>
      <c r="H61" s="78"/>
      <c r="I61" s="78"/>
      <c r="J61" s="78"/>
      <c r="K61" s="78"/>
      <c r="L61" s="78"/>
      <c r="M61" s="77"/>
    </row>
    <row r="62" spans="1:17" ht="36.75" x14ac:dyDescent="0.45">
      <c r="A62" s="76" t="s">
        <v>30</v>
      </c>
      <c r="D62" s="176" t="s">
        <v>50</v>
      </c>
      <c r="E62" s="177"/>
      <c r="F62" s="178">
        <f>+F7</f>
        <v>42612</v>
      </c>
      <c r="G62" s="179"/>
      <c r="H62" s="179"/>
      <c r="I62" s="179"/>
      <c r="J62" s="179"/>
      <c r="K62" s="179"/>
      <c r="L62" s="179"/>
      <c r="M62" s="180"/>
    </row>
    <row r="63" spans="1:17" ht="37.5" thickBot="1" x14ac:dyDescent="0.5">
      <c r="A63" s="76" t="s">
        <v>30</v>
      </c>
      <c r="D63" s="158" t="s">
        <v>32</v>
      </c>
      <c r="E63" s="159"/>
      <c r="F63" s="160"/>
      <c r="G63" s="161"/>
      <c r="H63" s="161"/>
      <c r="I63" s="161"/>
      <c r="J63" s="161"/>
      <c r="K63" s="161"/>
      <c r="L63" s="161"/>
      <c r="M63" s="162"/>
    </row>
    <row r="64" spans="1:17" ht="80.099999999999994" customHeight="1" thickBot="1" x14ac:dyDescent="0.3">
      <c r="A64" s="76" t="s">
        <v>30</v>
      </c>
      <c r="D64" s="163" t="s">
        <v>51</v>
      </c>
      <c r="E64" s="164"/>
      <c r="F64" s="164"/>
      <c r="G64" s="164"/>
      <c r="H64" s="164"/>
      <c r="I64" s="164"/>
      <c r="J64" s="164"/>
      <c r="K64" s="164"/>
      <c r="L64" s="164"/>
      <c r="M64" s="165"/>
    </row>
    <row r="65" spans="1:13" ht="90" customHeight="1" thickBot="1" x14ac:dyDescent="0.3">
      <c r="A65" s="76" t="s">
        <v>30</v>
      </c>
      <c r="D65" s="166" t="str">
        <f>IF(F6="DELIVER",G6,F6)</f>
        <v>COLLIN 1</v>
      </c>
      <c r="E65" s="167"/>
      <c r="F65" s="167"/>
      <c r="G65" s="167"/>
      <c r="H65" s="167"/>
      <c r="I65" s="167"/>
      <c r="J65" s="167"/>
      <c r="K65" s="167"/>
      <c r="L65" s="167"/>
      <c r="M65" s="168"/>
    </row>
    <row r="66" spans="1:13" ht="60" customHeight="1" thickBot="1" x14ac:dyDescent="0.3">
      <c r="A66" s="76" t="s">
        <v>30</v>
      </c>
      <c r="D66" s="169" t="s">
        <v>55</v>
      </c>
      <c r="E66" s="170"/>
      <c r="F66" s="170"/>
      <c r="G66" s="170"/>
      <c r="H66" s="170"/>
      <c r="I66" s="170"/>
      <c r="J66" s="170"/>
      <c r="K66" s="170"/>
      <c r="L66" s="170"/>
      <c r="M66" s="171"/>
    </row>
  </sheetData>
  <mergeCells count="20">
    <mergeCell ref="D62:E62"/>
    <mergeCell ref="F62:M62"/>
    <mergeCell ref="D2:M2"/>
    <mergeCell ref="F23:M25"/>
    <mergeCell ref="D51:M51"/>
    <mergeCell ref="D53:M53"/>
    <mergeCell ref="D54:E54"/>
    <mergeCell ref="F54:M54"/>
    <mergeCell ref="F58:M58"/>
    <mergeCell ref="F59:M59"/>
    <mergeCell ref="F60:M60"/>
    <mergeCell ref="D55:E55"/>
    <mergeCell ref="F55:M55"/>
    <mergeCell ref="D56:E56"/>
    <mergeCell ref="F57:M57"/>
    <mergeCell ref="D63:E63"/>
    <mergeCell ref="F63:M63"/>
    <mergeCell ref="D64:M64"/>
    <mergeCell ref="D65:M65"/>
    <mergeCell ref="D66:M66"/>
  </mergeCells>
  <conditionalFormatting sqref="F6">
    <cfRule type="cellIs" dxfId="364" priority="5" operator="equal">
      <formula>"DELIVER"</formula>
    </cfRule>
  </conditionalFormatting>
  <conditionalFormatting sqref="D53">
    <cfRule type="cellIs" dxfId="363" priority="4" operator="equal">
      <formula>"DELIVER"</formula>
    </cfRule>
  </conditionalFormatting>
  <conditionalFormatting sqref="D2:M2">
    <cfRule type="expression" dxfId="362" priority="3">
      <formula>$F$6="DELIVER"</formula>
    </cfRule>
  </conditionalFormatting>
  <conditionalFormatting sqref="G6">
    <cfRule type="expression" dxfId="361" priority="2">
      <formula>$F$6="DELIVER"</formula>
    </cfRule>
  </conditionalFormatting>
  <conditionalFormatting sqref="D65">
    <cfRule type="expression" dxfId="36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51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1" hidden="1" customWidth="1"/>
    <col min="2" max="2" width="7.140625" style="1" hidden="1" customWidth="1"/>
    <col min="3" max="3" width="66.140625" style="1" hidden="1" customWidth="1"/>
    <col min="4" max="4" width="10.7109375" style="1" customWidth="1"/>
    <col min="5" max="6" width="12.7109375" style="1" customWidth="1"/>
    <col min="7" max="7" width="12.7109375" style="4" customWidth="1"/>
    <col min="8" max="8" width="48.7109375" style="1" customWidth="1"/>
    <col min="9" max="9" width="5.7109375" style="1" customWidth="1"/>
    <col min="10" max="10" width="6.85546875" style="1" customWidth="1"/>
    <col min="11" max="11" width="9.7109375" style="1" customWidth="1"/>
    <col min="12" max="12" width="1.140625" style="1" hidden="1" customWidth="1"/>
    <col min="13" max="13" width="11.42578125" style="1" customWidth="1"/>
    <col min="14" max="14" width="5.85546875" style="1" hidden="1" customWidth="1"/>
    <col min="15" max="15" width="8" style="1" hidden="1" customWidth="1"/>
    <col min="16" max="16" width="8.5703125" style="1" hidden="1" customWidth="1"/>
    <col min="17" max="17" width="9.5703125" style="1" hidden="1" customWidth="1"/>
    <col min="18" max="18" width="6.7109375" style="1" hidden="1" customWidth="1"/>
    <col min="19" max="19" width="9.140625" style="1" hidden="1" customWidth="1"/>
    <col min="20" max="20" width="9.42578125" style="1" hidden="1" customWidth="1"/>
    <col min="21" max="26" width="9.140625" style="1" hidden="1" customWidth="1"/>
    <col min="27" max="16384" width="9.140625" style="1"/>
  </cols>
  <sheetData>
    <row r="1" spans="1:26" ht="15.75" hidden="1" thickBot="1" x14ac:dyDescent="0.3">
      <c r="A1" s="1" t="s">
        <v>1629</v>
      </c>
      <c r="B1" s="1" t="s">
        <v>11</v>
      </c>
      <c r="C1" s="1" t="s">
        <v>6</v>
      </c>
      <c r="D1" s="1" t="s">
        <v>30</v>
      </c>
      <c r="E1" s="1" t="s">
        <v>30</v>
      </c>
      <c r="F1" s="1" t="s">
        <v>30</v>
      </c>
      <c r="G1" s="4" t="s">
        <v>30</v>
      </c>
      <c r="H1" s="1" t="s">
        <v>30</v>
      </c>
      <c r="I1" s="1" t="s">
        <v>30</v>
      </c>
      <c r="J1" s="1" t="s">
        <v>30</v>
      </c>
      <c r="K1" s="1" t="s">
        <v>30</v>
      </c>
      <c r="L1" s="1" t="s">
        <v>19</v>
      </c>
      <c r="M1" s="1" t="s">
        <v>30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  <c r="S1" s="1" t="s">
        <v>19</v>
      </c>
      <c r="T1" s="1" t="s">
        <v>19</v>
      </c>
      <c r="U1" s="1" t="s">
        <v>19</v>
      </c>
      <c r="V1" s="1" t="s">
        <v>19</v>
      </c>
      <c r="W1" s="1" t="s">
        <v>19</v>
      </c>
      <c r="X1" s="1" t="s">
        <v>19</v>
      </c>
      <c r="Y1" s="1" t="s">
        <v>19</v>
      </c>
      <c r="Z1" s="1" t="s">
        <v>19</v>
      </c>
    </row>
    <row r="2" spans="1:26" ht="30" customHeight="1" thickBot="1" x14ac:dyDescent="0.35">
      <c r="A2" s="1" t="s">
        <v>30</v>
      </c>
      <c r="B2" s="15" t="str">
        <f>IF(F24="","HIDESHEET","")</f>
        <v>HIDESHEET</v>
      </c>
      <c r="C2" s="1" t="s">
        <v>7</v>
      </c>
      <c r="D2" s="137" t="str">
        <f>IF(E24="",F5&amp;"  ("&amp;F4&amp;") - NO "&amp;C23,F5&amp;"  ("&amp;F4&amp;") - "&amp;C23&amp;" PICK LIST")</f>
        <v>DALLAS LIFE FOUNDATION  (001042RA) - NO REF|EGGS</v>
      </c>
      <c r="E2" s="138"/>
      <c r="F2" s="138"/>
      <c r="G2" s="138"/>
      <c r="H2" s="138"/>
      <c r="I2" s="138"/>
      <c r="J2" s="138"/>
      <c r="K2" s="138"/>
      <c r="L2" s="138"/>
      <c r="M2" s="139"/>
      <c r="N2" s="11"/>
      <c r="O2" s="11"/>
      <c r="P2" s="11"/>
      <c r="Q2" s="11"/>
      <c r="R2" s="11"/>
    </row>
    <row r="3" spans="1:26" ht="11.25" hidden="1" customHeight="1" x14ac:dyDescent="0.3">
      <c r="A3" s="1" t="s">
        <v>6</v>
      </c>
      <c r="B3" s="15" t="str">
        <f t="shared" ref="B3:B23" si="0">B4</f>
        <v>Hide</v>
      </c>
      <c r="D3" s="6"/>
      <c r="E3" s="6"/>
      <c r="F3" s="6"/>
      <c r="G3" s="42"/>
      <c r="H3" s="6"/>
      <c r="I3" s="6"/>
      <c r="J3" s="6"/>
      <c r="K3" s="6"/>
      <c r="L3" s="6"/>
    </row>
    <row r="4" spans="1:26" ht="18" hidden="1" customHeight="1" x14ac:dyDescent="0.25">
      <c r="B4" s="15" t="str">
        <f t="shared" si="0"/>
        <v>Hide</v>
      </c>
      <c r="C4" t="s">
        <v>1206</v>
      </c>
      <c r="E4" s="12" t="s">
        <v>37</v>
      </c>
      <c r="F4" s="27" t="str">
        <f>C4</f>
        <v>001042RA</v>
      </c>
      <c r="K4" s="12" t="s">
        <v>42</v>
      </c>
      <c r="L4" s="5"/>
      <c r="M4" s="33">
        <f>SUM(I24:I25)</f>
        <v>0</v>
      </c>
    </row>
    <row r="5" spans="1:26" ht="18" hidden="1" customHeight="1" x14ac:dyDescent="0.25">
      <c r="B5" s="15" t="str">
        <f t="shared" si="0"/>
        <v>Hide</v>
      </c>
      <c r="C5" s="10" t="s">
        <v>1201</v>
      </c>
      <c r="E5" s="12" t="s">
        <v>36</v>
      </c>
      <c r="F5" s="28" t="s">
        <v>1185</v>
      </c>
      <c r="K5" s="12" t="s">
        <v>43</v>
      </c>
      <c r="L5" s="5"/>
      <c r="M5" s="33">
        <f>ROUND(SUM(O24:O25),0)</f>
        <v>0</v>
      </c>
    </row>
    <row r="6" spans="1:26" ht="18" hidden="1" customHeight="1" x14ac:dyDescent="0.25">
      <c r="B6" s="15" t="str">
        <f t="shared" si="0"/>
        <v>Hide</v>
      </c>
      <c r="C6" s="10" t="s">
        <v>1207</v>
      </c>
      <c r="E6" s="12" t="s">
        <v>38</v>
      </c>
      <c r="F6" s="27" t="s">
        <v>61</v>
      </c>
      <c r="G6" s="43" t="s">
        <v>179</v>
      </c>
      <c r="I6" s="10"/>
      <c r="J6" s="10"/>
      <c r="K6" s="47" t="s">
        <v>58</v>
      </c>
      <c r="L6" s="47"/>
      <c r="M6" s="48">
        <f>ROUND(COUNT(O24:O25),0)</f>
        <v>0</v>
      </c>
      <c r="P6" s="12"/>
      <c r="W6" s="12" t="str">
        <f>"ESTIMATED "&amp;O23&amp;" PALLETS:"</f>
        <v>ESTIMATED LBS PALLETS:</v>
      </c>
    </row>
    <row r="7" spans="1:26" ht="18" hidden="1" customHeight="1" x14ac:dyDescent="0.25">
      <c r="B7" s="15" t="str">
        <f t="shared" si="0"/>
        <v>Hide</v>
      </c>
      <c r="E7" s="12" t="s">
        <v>39</v>
      </c>
      <c r="F7" s="29">
        <v>42612</v>
      </c>
      <c r="K7" s="12"/>
      <c r="M7" s="30"/>
      <c r="P7" s="12"/>
      <c r="W7" s="12" t="s">
        <v>46</v>
      </c>
    </row>
    <row r="8" spans="1:26" ht="15" hidden="1" customHeight="1" x14ac:dyDescent="0.25">
      <c r="A8" s="1" t="s">
        <v>6</v>
      </c>
      <c r="B8" s="15" t="str">
        <f t="shared" si="0"/>
        <v>Hide</v>
      </c>
      <c r="E8" s="12" t="s">
        <v>40</v>
      </c>
      <c r="F8" s="27" t="str">
        <f>E14</f>
        <v>A105108|A105108</v>
      </c>
      <c r="K8" s="12"/>
      <c r="L8" s="5"/>
      <c r="P8" s="12"/>
      <c r="W8" s="12" t="s">
        <v>47</v>
      </c>
    </row>
    <row r="9" spans="1:26" ht="15" hidden="1" customHeight="1" x14ac:dyDescent="0.25">
      <c r="A9" s="1" t="s">
        <v>6</v>
      </c>
      <c r="B9" s="15" t="str">
        <f t="shared" si="0"/>
        <v>Hide</v>
      </c>
      <c r="E9" s="12" t="s">
        <v>41</v>
      </c>
      <c r="F9" s="27" t="str">
        <f>F14</f>
        <v>ITPN-207416|ITPN-207416</v>
      </c>
      <c r="K9" s="12"/>
      <c r="L9" s="5"/>
      <c r="M9" s="13"/>
      <c r="P9" s="12"/>
      <c r="W9" s="12" t="s">
        <v>48</v>
      </c>
    </row>
    <row r="10" spans="1:26" ht="15" hidden="1" customHeight="1" x14ac:dyDescent="0.25">
      <c r="A10" s="1" t="s">
        <v>6</v>
      </c>
      <c r="B10" s="15" t="str">
        <f t="shared" si="0"/>
        <v>Hide</v>
      </c>
    </row>
    <row r="11" spans="1:26" ht="15.75" hidden="1" customHeight="1" x14ac:dyDescent="0.25">
      <c r="A11" s="1" t="s">
        <v>6</v>
      </c>
      <c r="B11" s="15" t="str">
        <f t="shared" si="0"/>
        <v>Hide</v>
      </c>
      <c r="E11" s="1" t="s">
        <v>8</v>
      </c>
      <c r="F11" s="1" t="s">
        <v>9</v>
      </c>
      <c r="H11" s="12"/>
      <c r="I11" s="20"/>
      <c r="J11" s="20"/>
      <c r="K11" s="20"/>
      <c r="L11" s="20"/>
      <c r="M11" s="20"/>
    </row>
    <row r="12" spans="1:26" hidden="1" x14ac:dyDescent="0.25">
      <c r="A12" s="1" t="s">
        <v>6</v>
      </c>
      <c r="B12" s="15" t="str">
        <f t="shared" si="0"/>
        <v>Hide</v>
      </c>
      <c r="C12" s="1" t="s">
        <v>1201</v>
      </c>
      <c r="E12" s="1" t="s">
        <v>1202</v>
      </c>
      <c r="F12" s="1" t="s">
        <v>1203</v>
      </c>
      <c r="I12" s="20"/>
      <c r="J12" s="20"/>
      <c r="K12" s="20"/>
      <c r="L12" s="20"/>
      <c r="M12" s="20"/>
    </row>
    <row r="13" spans="1:26" hidden="1" x14ac:dyDescent="0.25">
      <c r="A13" s="1" t="s">
        <v>6</v>
      </c>
      <c r="B13" s="15" t="str">
        <f t="shared" si="0"/>
        <v>Hide</v>
      </c>
      <c r="C13" s="1" t="s">
        <v>1202</v>
      </c>
      <c r="E13" s="1" t="str">
        <f>E12</f>
        <v>A105108</v>
      </c>
      <c r="F13" s="1" t="str">
        <f>F12</f>
        <v>ITPN-207416</v>
      </c>
      <c r="I13" s="20"/>
      <c r="J13" s="20"/>
      <c r="K13" s="20"/>
      <c r="L13" s="20"/>
      <c r="M13" s="20"/>
    </row>
    <row r="14" spans="1:26" hidden="1" x14ac:dyDescent="0.25">
      <c r="A14" s="1" t="s">
        <v>6</v>
      </c>
      <c r="B14" s="15" t="str">
        <f t="shared" si="0"/>
        <v>Hide</v>
      </c>
      <c r="E14" s="8" t="s">
        <v>1204</v>
      </c>
      <c r="F14" s="8" t="s">
        <v>1205</v>
      </c>
      <c r="I14" s="20"/>
      <c r="J14" s="20"/>
      <c r="K14" s="20"/>
      <c r="L14" s="20"/>
      <c r="M14" s="20"/>
    </row>
    <row r="15" spans="1:26" hidden="1" x14ac:dyDescent="0.25">
      <c r="B15" s="15" t="str">
        <f t="shared" si="0"/>
        <v>Hide</v>
      </c>
      <c r="E15" s="12" t="s">
        <v>20</v>
      </c>
      <c r="F15" s="140" t="s">
        <v>179</v>
      </c>
      <c r="G15" s="141"/>
      <c r="H15" s="141"/>
      <c r="I15" s="141"/>
      <c r="J15" s="141"/>
      <c r="K15" s="141"/>
      <c r="L15" s="141"/>
      <c r="M15" s="142"/>
    </row>
    <row r="16" spans="1:26" hidden="1" x14ac:dyDescent="0.25">
      <c r="B16" s="15" t="str">
        <f t="shared" si="0"/>
        <v>Hide</v>
      </c>
      <c r="F16" s="143"/>
      <c r="G16" s="144"/>
      <c r="H16" s="144"/>
      <c r="I16" s="144"/>
      <c r="J16" s="144"/>
      <c r="K16" s="144"/>
      <c r="L16" s="144"/>
      <c r="M16" s="145"/>
    </row>
    <row r="17" spans="1:17" ht="15.75" hidden="1" thickBot="1" x14ac:dyDescent="0.3">
      <c r="B17" s="15" t="str">
        <f t="shared" si="0"/>
        <v>Hide</v>
      </c>
      <c r="F17" s="146"/>
      <c r="G17" s="147"/>
      <c r="H17" s="147"/>
      <c r="I17" s="147"/>
      <c r="J17" s="147"/>
      <c r="K17" s="147"/>
      <c r="L17" s="147"/>
      <c r="M17" s="148"/>
    </row>
    <row r="18" spans="1:17" hidden="1" x14ac:dyDescent="0.25">
      <c r="B18" s="15" t="str">
        <f t="shared" si="0"/>
        <v>Hide</v>
      </c>
    </row>
    <row r="19" spans="1:17" hidden="1" x14ac:dyDescent="0.25">
      <c r="B19" s="15" t="str">
        <f t="shared" si="0"/>
        <v>Hide</v>
      </c>
      <c r="E19" s="12" t="s">
        <v>33</v>
      </c>
      <c r="F19" s="3"/>
      <c r="G19" s="44"/>
      <c r="H19" s="12" t="s">
        <v>53</v>
      </c>
      <c r="I19" s="3"/>
      <c r="J19" s="3"/>
      <c r="K19" s="3"/>
    </row>
    <row r="20" spans="1:17" hidden="1" x14ac:dyDescent="0.25">
      <c r="B20" s="15" t="str">
        <f t="shared" si="0"/>
        <v>Hide</v>
      </c>
      <c r="E20" s="12"/>
    </row>
    <row r="21" spans="1:17" hidden="1" x14ac:dyDescent="0.25">
      <c r="B21" s="15" t="str">
        <f t="shared" si="0"/>
        <v>Hide</v>
      </c>
      <c r="E21" s="12" t="s">
        <v>32</v>
      </c>
      <c r="F21" s="3"/>
      <c r="G21" s="44"/>
      <c r="H21" s="12" t="s">
        <v>54</v>
      </c>
      <c r="I21" s="3"/>
      <c r="J21" s="3"/>
      <c r="K21" s="3"/>
    </row>
    <row r="22" spans="1:17" hidden="1" x14ac:dyDescent="0.25">
      <c r="B22" s="15" t="str">
        <f t="shared" si="0"/>
        <v>Hide</v>
      </c>
      <c r="C22" s="1" t="s">
        <v>52</v>
      </c>
      <c r="D22" s="1" t="s">
        <v>52</v>
      </c>
      <c r="F22" s="2"/>
      <c r="I22" s="20"/>
      <c r="J22" s="20"/>
      <c r="K22" s="20"/>
      <c r="L22" s="20"/>
      <c r="M22" s="20"/>
    </row>
    <row r="23" spans="1:17" s="4" customFormat="1" ht="15.95" hidden="1" customHeight="1" x14ac:dyDescent="0.25">
      <c r="A23" s="14"/>
      <c r="B23" s="15" t="str">
        <f t="shared" si="0"/>
        <v>Hide</v>
      </c>
      <c r="C23" s="32" t="s">
        <v>44</v>
      </c>
      <c r="D23" s="39" t="s">
        <v>28</v>
      </c>
      <c r="E23" s="39" t="s">
        <v>26</v>
      </c>
      <c r="F23" s="39" t="s">
        <v>29</v>
      </c>
      <c r="G23" s="39" t="s">
        <v>57</v>
      </c>
      <c r="H23" s="39" t="s">
        <v>27</v>
      </c>
      <c r="I23" s="39" t="s">
        <v>25</v>
      </c>
      <c r="J23" s="39" t="s">
        <v>10</v>
      </c>
      <c r="K23" s="39" t="s">
        <v>24</v>
      </c>
      <c r="L23" s="40"/>
      <c r="M23" s="39" t="s">
        <v>31</v>
      </c>
      <c r="N23" s="17" t="s">
        <v>21</v>
      </c>
      <c r="O23" s="17" t="s">
        <v>22</v>
      </c>
      <c r="P23" s="17" t="s">
        <v>23</v>
      </c>
      <c r="Q23" s="17"/>
    </row>
    <row r="24" spans="1:17" ht="24.95" hidden="1" customHeight="1" x14ac:dyDescent="0.25">
      <c r="B24" s="8" t="str">
        <f>IF(I24="","Hide","Show")</f>
        <v>Hide</v>
      </c>
      <c r="C24" s="1" t="s">
        <v>179</v>
      </c>
      <c r="D24" s="38" t="s">
        <v>179</v>
      </c>
      <c r="E24" s="38" t="s">
        <v>179</v>
      </c>
      <c r="F24" s="38" t="s">
        <v>179</v>
      </c>
      <c r="G24" s="41" t="s">
        <v>180</v>
      </c>
      <c r="H24" s="35" t="s">
        <v>179</v>
      </c>
      <c r="I24" s="38" t="s">
        <v>179</v>
      </c>
      <c r="J24" s="38" t="s">
        <v>179</v>
      </c>
      <c r="K24" s="34"/>
      <c r="L24" s="36"/>
      <c r="M24" s="36"/>
      <c r="N24" s="30" t="s">
        <v>179</v>
      </c>
      <c r="O24" s="30" t="s">
        <v>179</v>
      </c>
      <c r="P24" s="30" t="s">
        <v>179</v>
      </c>
      <c r="Q24" s="37" t="s">
        <v>56</v>
      </c>
    </row>
    <row r="25" spans="1:17" hidden="1" x14ac:dyDescent="0.25">
      <c r="B25" s="1" t="str">
        <f>B24</f>
        <v>Hide</v>
      </c>
      <c r="H25" s="30"/>
      <c r="I25" s="30"/>
    </row>
    <row r="26" spans="1:17" ht="15.75" hidden="1" thickBot="1" x14ac:dyDescent="0.3">
      <c r="B26" s="1" t="str">
        <f>+B25</f>
        <v>Hide</v>
      </c>
      <c r="D26" s="149" t="str">
        <f>+"END OF "&amp;D2</f>
        <v>END OF DALLAS LIFE FOUNDATION  (001042RA) - NO REF|EGGS</v>
      </c>
      <c r="E26" s="150"/>
      <c r="F26" s="150"/>
      <c r="G26" s="150"/>
      <c r="H26" s="150"/>
      <c r="I26" s="150"/>
      <c r="J26" s="150"/>
      <c r="K26" s="150"/>
      <c r="L26" s="150"/>
      <c r="M26" s="151"/>
    </row>
    <row r="27" spans="1:17" ht="15.75" thickBot="1" x14ac:dyDescent="0.3"/>
    <row r="28" spans="1:17" ht="80.099999999999994" customHeight="1" thickBot="1" x14ac:dyDescent="0.3">
      <c r="A28" s="15" t="s">
        <v>30</v>
      </c>
      <c r="D28" s="121" t="str">
        <f>+F6</f>
        <v>PICKUP</v>
      </c>
      <c r="E28" s="122"/>
      <c r="F28" s="122"/>
      <c r="G28" s="122"/>
      <c r="H28" s="122"/>
      <c r="I28" s="122"/>
      <c r="J28" s="122"/>
      <c r="K28" s="122"/>
      <c r="L28" s="122"/>
      <c r="M28" s="123"/>
    </row>
    <row r="29" spans="1:17" ht="36.75" x14ac:dyDescent="0.45">
      <c r="A29" s="15" t="s">
        <v>30</v>
      </c>
      <c r="D29" s="127" t="s">
        <v>12</v>
      </c>
      <c r="E29" s="128"/>
      <c r="F29" s="152" t="str">
        <f>+F4</f>
        <v>001042RA</v>
      </c>
      <c r="G29" s="152"/>
      <c r="H29" s="152"/>
      <c r="I29" s="152"/>
      <c r="J29" s="152"/>
      <c r="K29" s="152"/>
      <c r="L29" s="152"/>
      <c r="M29" s="153"/>
    </row>
    <row r="30" spans="1:17" ht="37.5" customHeight="1" thickBot="1" x14ac:dyDescent="0.5">
      <c r="A30" s="15" t="s">
        <v>30</v>
      </c>
      <c r="D30" s="132" t="s">
        <v>5</v>
      </c>
      <c r="E30" s="133"/>
      <c r="F30" s="135" t="str">
        <f>+F5</f>
        <v>DALLAS LIFE FOUNDATION</v>
      </c>
      <c r="G30" s="135"/>
      <c r="H30" s="135"/>
      <c r="I30" s="135"/>
      <c r="J30" s="135"/>
      <c r="K30" s="135"/>
      <c r="L30" s="135"/>
      <c r="M30" s="136"/>
      <c r="N30" s="26"/>
      <c r="O30" s="26"/>
      <c r="P30" s="26"/>
    </row>
    <row r="31" spans="1:17" ht="33.75" hidden="1" thickBot="1" x14ac:dyDescent="0.45">
      <c r="A31" s="15" t="s">
        <v>19</v>
      </c>
      <c r="D31" s="154" t="s">
        <v>49</v>
      </c>
      <c r="E31" s="155"/>
      <c r="F31" s="21"/>
      <c r="G31" s="45"/>
      <c r="H31" s="21"/>
      <c r="I31" s="21"/>
      <c r="J31" s="21"/>
      <c r="K31" s="21"/>
      <c r="L31" s="21"/>
      <c r="M31" s="22"/>
    </row>
    <row r="32" spans="1:17" ht="30" hidden="1" customHeight="1" x14ac:dyDescent="0.25">
      <c r="A32" s="15" t="s">
        <v>19</v>
      </c>
      <c r="D32" s="23"/>
      <c r="E32" s="24"/>
      <c r="F32" s="156" t="s">
        <v>1202</v>
      </c>
      <c r="G32" s="156"/>
      <c r="H32" s="156"/>
      <c r="I32" s="156"/>
      <c r="J32" s="156"/>
      <c r="K32" s="156"/>
      <c r="L32" s="156"/>
      <c r="M32" s="157"/>
    </row>
    <row r="33" spans="1:13" ht="15.75" hidden="1" customHeight="1" thickBot="1" x14ac:dyDescent="0.3">
      <c r="A33" s="15" t="s">
        <v>19</v>
      </c>
      <c r="D33" s="23"/>
      <c r="E33" s="24"/>
      <c r="F33" s="24"/>
      <c r="G33" s="46"/>
      <c r="H33" s="24"/>
      <c r="I33" s="24"/>
      <c r="J33" s="24"/>
      <c r="K33" s="24"/>
      <c r="L33" s="24"/>
      <c r="M33" s="25"/>
    </row>
    <row r="34" spans="1:13" ht="36.75" x14ac:dyDescent="0.45">
      <c r="A34" s="15" t="s">
        <v>30</v>
      </c>
      <c r="D34" s="127" t="s">
        <v>50</v>
      </c>
      <c r="E34" s="128"/>
      <c r="F34" s="129">
        <f>+F7</f>
        <v>42612</v>
      </c>
      <c r="G34" s="130"/>
      <c r="H34" s="130"/>
      <c r="I34" s="130"/>
      <c r="J34" s="130"/>
      <c r="K34" s="130"/>
      <c r="L34" s="130"/>
      <c r="M34" s="131"/>
    </row>
    <row r="35" spans="1:13" ht="37.5" thickBot="1" x14ac:dyDescent="0.5">
      <c r="A35" s="15" t="s">
        <v>30</v>
      </c>
      <c r="D35" s="132" t="s">
        <v>32</v>
      </c>
      <c r="E35" s="133"/>
      <c r="F35" s="134"/>
      <c r="G35" s="135"/>
      <c r="H35" s="135"/>
      <c r="I35" s="135"/>
      <c r="J35" s="135"/>
      <c r="K35" s="135"/>
      <c r="L35" s="135"/>
      <c r="M35" s="136"/>
    </row>
    <row r="36" spans="1:13" ht="80.099999999999994" customHeight="1" thickBot="1" x14ac:dyDescent="0.3">
      <c r="A36" s="15" t="s">
        <v>30</v>
      </c>
      <c r="D36" s="118" t="s">
        <v>51</v>
      </c>
      <c r="E36" s="119"/>
      <c r="F36" s="119"/>
      <c r="G36" s="119"/>
      <c r="H36" s="119"/>
      <c r="I36" s="119"/>
      <c r="J36" s="119"/>
      <c r="K36" s="119"/>
      <c r="L36" s="119"/>
      <c r="M36" s="120"/>
    </row>
    <row r="37" spans="1:13" ht="90" customHeight="1" thickBot="1" x14ac:dyDescent="0.3">
      <c r="A37" s="15" t="s">
        <v>30</v>
      </c>
      <c r="D37" s="121" t="str">
        <f>IF(F6="DELIVER",G6,F6)</f>
        <v>PICKUP</v>
      </c>
      <c r="E37" s="122"/>
      <c r="F37" s="122"/>
      <c r="G37" s="122"/>
      <c r="H37" s="122"/>
      <c r="I37" s="122"/>
      <c r="J37" s="122"/>
      <c r="K37" s="122"/>
      <c r="L37" s="122"/>
      <c r="M37" s="123"/>
    </row>
    <row r="38" spans="1:13" ht="60" customHeight="1" thickBot="1" x14ac:dyDescent="0.3">
      <c r="A38" s="15" t="s">
        <v>30</v>
      </c>
      <c r="D38" s="124" t="s">
        <v>55</v>
      </c>
      <c r="E38" s="125"/>
      <c r="F38" s="125"/>
      <c r="G38" s="125"/>
      <c r="H38" s="125"/>
      <c r="I38" s="125"/>
      <c r="J38" s="125"/>
      <c r="K38" s="125"/>
      <c r="L38" s="125"/>
      <c r="M38" s="126"/>
    </row>
  </sheetData>
  <mergeCells count="17">
    <mergeCell ref="D30:E30"/>
    <mergeCell ref="F30:M30"/>
    <mergeCell ref="D31:E31"/>
    <mergeCell ref="F32:M32"/>
    <mergeCell ref="D2:M2"/>
    <mergeCell ref="F15:M17"/>
    <mergeCell ref="D26:M26"/>
    <mergeCell ref="D28:M28"/>
    <mergeCell ref="D29:E29"/>
    <mergeCell ref="F29:M29"/>
    <mergeCell ref="D36:M36"/>
    <mergeCell ref="D37:M37"/>
    <mergeCell ref="D38:M38"/>
    <mergeCell ref="D34:E34"/>
    <mergeCell ref="F34:M34"/>
    <mergeCell ref="D35:E35"/>
    <mergeCell ref="F35:M35"/>
  </mergeCells>
  <conditionalFormatting sqref="F6">
    <cfRule type="cellIs" dxfId="359" priority="5" operator="equal">
      <formula>"DELIVER"</formula>
    </cfRule>
  </conditionalFormatting>
  <conditionalFormatting sqref="D28">
    <cfRule type="cellIs" dxfId="358" priority="4" operator="equal">
      <formula>"DELIVER"</formula>
    </cfRule>
  </conditionalFormatting>
  <conditionalFormatting sqref="D2:M2">
    <cfRule type="expression" dxfId="357" priority="3">
      <formula>$F$6="DELIVER"</formula>
    </cfRule>
  </conditionalFormatting>
  <conditionalFormatting sqref="G6">
    <cfRule type="expression" dxfId="356" priority="2">
      <formula>$F$6="DELIVER"</formula>
    </cfRule>
  </conditionalFormatting>
  <conditionalFormatting sqref="D37">
    <cfRule type="expression" dxfId="35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1631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>HIDESHEET</v>
      </c>
      <c r="C2" s="74" t="s">
        <v>7</v>
      </c>
      <c r="D2" s="181" t="str">
        <f>IF(E24="",F5&amp;"  ("&amp;F4&amp;") - NO "&amp;C23,F5&amp;"  ("&amp;F4&amp;") - "&amp;C23&amp;" PICK LIST")</f>
        <v>DUNCANVILLE OUTREACH MINISTRY  (002051P)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"002051P"</f>
        <v>002051P</v>
      </c>
      <c r="E4" s="101" t="s">
        <v>37</v>
      </c>
      <c r="F4" s="105" t="str">
        <f>C4</f>
        <v>002051P</v>
      </c>
      <c r="K4" s="101" t="s">
        <v>42</v>
      </c>
      <c r="L4" s="104"/>
      <c r="M4" s="111">
        <f>SUM(I24:I25)</f>
        <v>0</v>
      </c>
    </row>
    <row r="5" spans="1:26" ht="18" hidden="1" customHeight="1" x14ac:dyDescent="0.25">
      <c r="B5" s="76" t="str">
        <f t="shared" si="0"/>
        <v>Hide</v>
      </c>
      <c r="C5" s="109" t="s">
        <v>1221</v>
      </c>
      <c r="E5" s="101" t="s">
        <v>36</v>
      </c>
      <c r="F5" s="112" t="s">
        <v>1187</v>
      </c>
      <c r="K5" s="101" t="s">
        <v>43</v>
      </c>
      <c r="L5" s="104"/>
      <c r="M5" s="111">
        <f>ROUND(SUM(O24:O25),0)</f>
        <v>0</v>
      </c>
    </row>
    <row r="6" spans="1:26" ht="18" hidden="1" customHeight="1" x14ac:dyDescent="0.25">
      <c r="B6" s="76" t="str">
        <f t="shared" si="0"/>
        <v>Hide</v>
      </c>
      <c r="C6" s="109" t="s">
        <v>1225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ROUND(COUNT(O24:O25),0)</f>
        <v>0</v>
      </c>
      <c r="P6" s="101"/>
      <c r="W6" s="101" t="str">
        <f>"ESTIMATED "&amp;O23&amp;"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E14</f>
        <v>A108341|A108341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F14</f>
        <v>ITPN-207475|ITPN-207475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 t="shared" si="0"/>
        <v>Hide</v>
      </c>
      <c r="C12" s="74" t="s">
        <v>1221</v>
      </c>
      <c r="E12" s="74" t="s">
        <v>1216</v>
      </c>
      <c r="F12" s="74" t="s">
        <v>1222</v>
      </c>
      <c r="I12" s="98"/>
      <c r="J12" s="98"/>
      <c r="K12" s="98"/>
      <c r="L12" s="98"/>
      <c r="M12" s="98"/>
    </row>
    <row r="13" spans="1:26" hidden="1" x14ac:dyDescent="0.25">
      <c r="A13" s="74" t="s">
        <v>6</v>
      </c>
      <c r="B13" s="76" t="str">
        <f t="shared" si="0"/>
        <v>Hide</v>
      </c>
      <c r="C13" s="74" t="s">
        <v>1216</v>
      </c>
      <c r="E13" s="74" t="str">
        <f>E12</f>
        <v>A108341</v>
      </c>
      <c r="F13" s="74" t="str">
        <f>F12</f>
        <v>ITPN-207475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si="0"/>
        <v>Hide</v>
      </c>
      <c r="E14" s="92" t="s">
        <v>1223</v>
      </c>
      <c r="F14" s="92" t="s">
        <v>1224</v>
      </c>
      <c r="I14" s="98"/>
      <c r="J14" s="98"/>
      <c r="K14" s="98"/>
      <c r="L14" s="98"/>
      <c r="M14" s="98"/>
    </row>
    <row r="15" spans="1:26" hidden="1" x14ac:dyDescent="0.25">
      <c r="B15" s="76" t="str">
        <f t="shared" si="0"/>
        <v>Hide</v>
      </c>
      <c r="E15" s="101" t="s">
        <v>20</v>
      </c>
      <c r="F15" s="184" t="s">
        <v>179</v>
      </c>
      <c r="G15" s="185"/>
      <c r="H15" s="185"/>
      <c r="I15" s="185"/>
      <c r="J15" s="185"/>
      <c r="K15" s="185"/>
      <c r="L15" s="185"/>
      <c r="M15" s="186"/>
    </row>
    <row r="16" spans="1:26" hidden="1" x14ac:dyDescent="0.25">
      <c r="B16" s="76" t="str">
        <f t="shared" si="0"/>
        <v>Hide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hidden="1" thickBot="1" x14ac:dyDescent="0.3">
      <c r="B17" s="76" t="str">
        <f t="shared" si="0"/>
        <v>Hide</v>
      </c>
      <c r="F17" s="190"/>
      <c r="G17" s="191"/>
      <c r="H17" s="191"/>
      <c r="I17" s="191"/>
      <c r="J17" s="191"/>
      <c r="K17" s="191"/>
      <c r="L17" s="191"/>
      <c r="M17" s="192"/>
    </row>
    <row r="18" spans="1:17" hidden="1" x14ac:dyDescent="0.25">
      <c r="B18" s="76" t="str">
        <f t="shared" si="0"/>
        <v>Hide</v>
      </c>
    </row>
    <row r="19" spans="1:17" hidden="1" x14ac:dyDescent="0.25">
      <c r="B19" s="76" t="str">
        <f t="shared" si="0"/>
        <v>Hide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hidden="1" x14ac:dyDescent="0.25">
      <c r="B20" s="76" t="str">
        <f t="shared" si="0"/>
        <v>Hide</v>
      </c>
      <c r="E20" s="101"/>
    </row>
    <row r="21" spans="1:17" hidden="1" x14ac:dyDescent="0.25">
      <c r="B21" s="76" t="str">
        <f t="shared" si="0"/>
        <v>Hide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hidden="1" x14ac:dyDescent="0.25">
      <c r="B22" s="76" t="str">
        <f t="shared" si="0"/>
        <v>Hide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hidden="1" customHeight="1" x14ac:dyDescent="0.25">
      <c r="A23" s="97"/>
      <c r="B23" s="76" t="str">
        <f t="shared" si="0"/>
        <v>Hide</v>
      </c>
      <c r="C23" s="96" t="s">
        <v>44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hidden="1" customHeight="1" x14ac:dyDescent="0.25">
      <c r="B24" s="92" t="str">
        <f>IF(I24="","Hide","Show")</f>
        <v>Hide</v>
      </c>
      <c r="C24" s="74" t="s">
        <v>179</v>
      </c>
      <c r="D24" s="89" t="s">
        <v>179</v>
      </c>
      <c r="E24" s="89" t="s">
        <v>179</v>
      </c>
      <c r="F24" s="89" t="s">
        <v>179</v>
      </c>
      <c r="G24" s="91" t="s">
        <v>180</v>
      </c>
      <c r="H24" s="90" t="s">
        <v>179</v>
      </c>
      <c r="I24" s="89" t="s">
        <v>179</v>
      </c>
      <c r="J24" s="89" t="s">
        <v>179</v>
      </c>
      <c r="K24" s="88"/>
      <c r="L24" s="87"/>
      <c r="M24" s="87"/>
      <c r="N24" s="85" t="s">
        <v>179</v>
      </c>
      <c r="O24" s="85" t="s">
        <v>179</v>
      </c>
      <c r="P24" s="85" t="s">
        <v>179</v>
      </c>
      <c r="Q24" s="86" t="s">
        <v>56</v>
      </c>
    </row>
    <row r="25" spans="1:17" hidden="1" x14ac:dyDescent="0.25">
      <c r="B25" s="74" t="str">
        <f>B24</f>
        <v>Hide</v>
      </c>
      <c r="H25" s="85"/>
      <c r="I25" s="85"/>
    </row>
    <row r="26" spans="1:17" ht="15.75" hidden="1" thickBot="1" x14ac:dyDescent="0.3">
      <c r="B26" s="74" t="str">
        <f>+B25</f>
        <v>Hide</v>
      </c>
      <c r="D26" s="193" t="str">
        <f>+"END OF "&amp;D2</f>
        <v>END OF DUNCANVILLE OUTREACH MINISTRY  (002051P) - NO REF|EGGS</v>
      </c>
      <c r="E26" s="194"/>
      <c r="F26" s="194"/>
      <c r="G26" s="194"/>
      <c r="H26" s="194"/>
      <c r="I26" s="194"/>
      <c r="J26" s="194"/>
      <c r="K26" s="194"/>
      <c r="L26" s="194"/>
      <c r="M26" s="195"/>
    </row>
    <row r="27" spans="1:17" ht="15.75" thickBot="1" x14ac:dyDescent="0.3"/>
    <row r="28" spans="1:17" ht="80.099999999999994" customHeight="1" thickBot="1" x14ac:dyDescent="0.3">
      <c r="A28" s="76" t="s">
        <v>30</v>
      </c>
      <c r="D28" s="166" t="str">
        <f>+F6</f>
        <v>PICKUP</v>
      </c>
      <c r="E28" s="167"/>
      <c r="F28" s="167"/>
      <c r="G28" s="167"/>
      <c r="H28" s="167"/>
      <c r="I28" s="167"/>
      <c r="J28" s="167"/>
      <c r="K28" s="167"/>
      <c r="L28" s="167"/>
      <c r="M28" s="168"/>
    </row>
    <row r="29" spans="1:17" ht="36.75" x14ac:dyDescent="0.45">
      <c r="A29" s="76" t="s">
        <v>30</v>
      </c>
      <c r="D29" s="176" t="s">
        <v>12</v>
      </c>
      <c r="E29" s="177"/>
      <c r="F29" s="196" t="str">
        <f>+F4</f>
        <v>002051P</v>
      </c>
      <c r="G29" s="196"/>
      <c r="H29" s="196"/>
      <c r="I29" s="196"/>
      <c r="J29" s="196"/>
      <c r="K29" s="196"/>
      <c r="L29" s="196"/>
      <c r="M29" s="197"/>
    </row>
    <row r="30" spans="1:17" ht="37.5" customHeight="1" thickBot="1" x14ac:dyDescent="0.5">
      <c r="A30" s="76" t="s">
        <v>30</v>
      </c>
      <c r="D30" s="158" t="s">
        <v>5</v>
      </c>
      <c r="E30" s="159"/>
      <c r="F30" s="161" t="str">
        <f>+F5</f>
        <v>DUNCANVILLE OUTREACH MINISTRY</v>
      </c>
      <c r="G30" s="161"/>
      <c r="H30" s="161"/>
      <c r="I30" s="161"/>
      <c r="J30" s="161"/>
      <c r="K30" s="161"/>
      <c r="L30" s="161"/>
      <c r="M30" s="162"/>
      <c r="N30" s="84"/>
      <c r="O30" s="84"/>
      <c r="P30" s="84"/>
    </row>
    <row r="31" spans="1:17" ht="33.75" hidden="1" thickBot="1" x14ac:dyDescent="0.45">
      <c r="A31" s="76" t="s">
        <v>19</v>
      </c>
      <c r="D31" s="172" t="s">
        <v>49</v>
      </c>
      <c r="E31" s="173"/>
      <c r="F31" s="82"/>
      <c r="G31" s="83"/>
      <c r="H31" s="82"/>
      <c r="I31" s="82"/>
      <c r="J31" s="82"/>
      <c r="K31" s="82"/>
      <c r="L31" s="82"/>
      <c r="M31" s="81"/>
    </row>
    <row r="32" spans="1:17" ht="30" hidden="1" customHeight="1" x14ac:dyDescent="0.25">
      <c r="A32" s="76" t="s">
        <v>19</v>
      </c>
      <c r="D32" s="80"/>
      <c r="E32" s="78"/>
      <c r="F32" s="174" t="s">
        <v>1216</v>
      </c>
      <c r="G32" s="174"/>
      <c r="H32" s="174"/>
      <c r="I32" s="174"/>
      <c r="J32" s="174"/>
      <c r="K32" s="174"/>
      <c r="L32" s="174"/>
      <c r="M32" s="175"/>
    </row>
    <row r="33" spans="1:13" ht="15.75" hidden="1" customHeight="1" thickBot="1" x14ac:dyDescent="0.3">
      <c r="A33" s="76" t="s">
        <v>19</v>
      </c>
      <c r="D33" s="80"/>
      <c r="E33" s="78"/>
      <c r="F33" s="78"/>
      <c r="G33" s="79"/>
      <c r="H33" s="78"/>
      <c r="I33" s="78"/>
      <c r="J33" s="78"/>
      <c r="K33" s="78"/>
      <c r="L33" s="78"/>
      <c r="M33" s="77"/>
    </row>
    <row r="34" spans="1:13" ht="36.75" x14ac:dyDescent="0.45">
      <c r="A34" s="76" t="s">
        <v>30</v>
      </c>
      <c r="D34" s="176" t="s">
        <v>50</v>
      </c>
      <c r="E34" s="177"/>
      <c r="F34" s="178">
        <f>+F7</f>
        <v>42612</v>
      </c>
      <c r="G34" s="179"/>
      <c r="H34" s="179"/>
      <c r="I34" s="179"/>
      <c r="J34" s="179"/>
      <c r="K34" s="179"/>
      <c r="L34" s="179"/>
      <c r="M34" s="180"/>
    </row>
    <row r="35" spans="1:13" ht="37.5" thickBot="1" x14ac:dyDescent="0.5">
      <c r="A35" s="76" t="s">
        <v>30</v>
      </c>
      <c r="D35" s="158" t="s">
        <v>32</v>
      </c>
      <c r="E35" s="159"/>
      <c r="F35" s="160"/>
      <c r="G35" s="161"/>
      <c r="H35" s="161"/>
      <c r="I35" s="161"/>
      <c r="J35" s="161"/>
      <c r="K35" s="161"/>
      <c r="L35" s="161"/>
      <c r="M35" s="162"/>
    </row>
    <row r="36" spans="1:13" ht="80.099999999999994" customHeight="1" thickBot="1" x14ac:dyDescent="0.3">
      <c r="A36" s="76" t="s">
        <v>30</v>
      </c>
      <c r="D36" s="163" t="s">
        <v>51</v>
      </c>
      <c r="E36" s="164"/>
      <c r="F36" s="164"/>
      <c r="G36" s="164"/>
      <c r="H36" s="164"/>
      <c r="I36" s="164"/>
      <c r="J36" s="164"/>
      <c r="K36" s="164"/>
      <c r="L36" s="164"/>
      <c r="M36" s="165"/>
    </row>
    <row r="37" spans="1:13" ht="90" customHeight="1" thickBot="1" x14ac:dyDescent="0.3">
      <c r="A37" s="76" t="s">
        <v>30</v>
      </c>
      <c r="D37" s="166" t="str">
        <f>IF(F6="DELIVER",G6,F6)</f>
        <v>PICKUP</v>
      </c>
      <c r="E37" s="167"/>
      <c r="F37" s="167"/>
      <c r="G37" s="167"/>
      <c r="H37" s="167"/>
      <c r="I37" s="167"/>
      <c r="J37" s="167"/>
      <c r="K37" s="167"/>
      <c r="L37" s="167"/>
      <c r="M37" s="168"/>
    </row>
    <row r="38" spans="1:13" ht="60" customHeight="1" thickBot="1" x14ac:dyDescent="0.3">
      <c r="A38" s="76" t="s">
        <v>30</v>
      </c>
      <c r="D38" s="169" t="s">
        <v>55</v>
      </c>
      <c r="E38" s="170"/>
      <c r="F38" s="170"/>
      <c r="G38" s="170"/>
      <c r="H38" s="170"/>
      <c r="I38" s="170"/>
      <c r="J38" s="170"/>
      <c r="K38" s="170"/>
      <c r="L38" s="170"/>
      <c r="M38" s="171"/>
    </row>
  </sheetData>
  <mergeCells count="17">
    <mergeCell ref="D2:M2"/>
    <mergeCell ref="F15:M17"/>
    <mergeCell ref="D26:M26"/>
    <mergeCell ref="D28:M28"/>
    <mergeCell ref="D29:E29"/>
    <mergeCell ref="F29:M29"/>
    <mergeCell ref="D30:E30"/>
    <mergeCell ref="F30:M30"/>
    <mergeCell ref="D31:E31"/>
    <mergeCell ref="F32:M32"/>
    <mergeCell ref="D34:E34"/>
    <mergeCell ref="F34:M34"/>
    <mergeCell ref="D35:E35"/>
    <mergeCell ref="F35:M35"/>
    <mergeCell ref="D36:M36"/>
    <mergeCell ref="D37:M37"/>
    <mergeCell ref="D38:M38"/>
  </mergeCells>
  <conditionalFormatting sqref="F6">
    <cfRule type="cellIs" dxfId="354" priority="5" operator="equal">
      <formula>"DELIVER"</formula>
    </cfRule>
  </conditionalFormatting>
  <conditionalFormatting sqref="D28">
    <cfRule type="cellIs" dxfId="353" priority="4" operator="equal">
      <formula>"DELIVER"</formula>
    </cfRule>
  </conditionalFormatting>
  <conditionalFormatting sqref="D2:M2">
    <cfRule type="expression" dxfId="352" priority="3">
      <formula>$F$6="DELIVER"</formula>
    </cfRule>
  </conditionalFormatting>
  <conditionalFormatting sqref="G6">
    <cfRule type="expression" dxfId="351" priority="2">
      <formula>$F$6="DELIVER"</formula>
    </cfRule>
  </conditionalFormatting>
  <conditionalFormatting sqref="D37">
    <cfRule type="expression" dxfId="35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Y43"/>
  <sheetViews>
    <sheetView topLeftCell="D25" zoomScale="120" zoomScaleNormal="120" workbookViewId="0">
      <selection activeCell="H28" sqref="H28"/>
    </sheetView>
  </sheetViews>
  <sheetFormatPr defaultRowHeight="15" x14ac:dyDescent="0.25"/>
  <cols>
    <col min="1" max="1" width="18.85546875" hidden="1" customWidth="1"/>
    <col min="2" max="3" width="20.7109375" hidden="1" customWidth="1"/>
    <col min="4" max="4" width="3.7109375" customWidth="1"/>
    <col min="5" max="5" width="9.140625" style="50" hidden="1" customWidth="1"/>
    <col min="6" max="6" width="16.42578125" hidden="1" customWidth="1"/>
    <col min="7" max="7" width="9.140625" style="50" hidden="1" customWidth="1"/>
    <col min="8" max="8" width="19" bestFit="1" customWidth="1"/>
    <col min="9" max="9" width="51.42578125" bestFit="1" customWidth="1"/>
    <col min="10" max="10" width="9.140625" style="50" hidden="1" customWidth="1"/>
    <col min="11" max="11" width="15.42578125" hidden="1" customWidth="1"/>
    <col min="12" max="12" width="17.28515625" hidden="1" customWidth="1"/>
    <col min="13" max="13" width="9.140625" style="50" hidden="1" customWidth="1"/>
    <col min="14" max="14" width="8.42578125" style="50" hidden="1" customWidth="1"/>
    <col min="15" max="15" width="6.7109375" hidden="1" customWidth="1"/>
    <col min="16" max="17" width="8.7109375" hidden="1" customWidth="1"/>
    <col min="18" max="18" width="13.140625" hidden="1" customWidth="1"/>
    <col min="24" max="24" width="16.7109375" customWidth="1"/>
    <col min="25" max="25" width="50.7109375" customWidth="1"/>
  </cols>
  <sheetData>
    <row r="1" spans="1:25" hidden="1" x14ac:dyDescent="0.25">
      <c r="A1" t="s">
        <v>1552</v>
      </c>
      <c r="B1" t="s">
        <v>11</v>
      </c>
      <c r="C1" t="s">
        <v>6</v>
      </c>
      <c r="E1" s="50" t="s">
        <v>6</v>
      </c>
      <c r="F1" t="s">
        <v>19</v>
      </c>
      <c r="G1" s="50" t="s">
        <v>6</v>
      </c>
      <c r="H1" t="s">
        <v>30</v>
      </c>
      <c r="I1" s="50" t="s">
        <v>30</v>
      </c>
      <c r="J1" s="50" t="s">
        <v>6</v>
      </c>
      <c r="K1" t="s">
        <v>19</v>
      </c>
      <c r="L1" t="s">
        <v>19</v>
      </c>
      <c r="M1" s="50" t="s">
        <v>6</v>
      </c>
      <c r="N1" t="s">
        <v>19</v>
      </c>
      <c r="O1" t="s">
        <v>19</v>
      </c>
      <c r="P1" t="s">
        <v>19</v>
      </c>
      <c r="Q1" t="s">
        <v>19</v>
      </c>
      <c r="R1" t="s">
        <v>19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</row>
    <row r="2" spans="1:25" hidden="1" x14ac:dyDescent="0.25">
      <c r="A2" t="s">
        <v>6</v>
      </c>
      <c r="B2" t="s">
        <v>62</v>
      </c>
      <c r="C2" s="51" t="str">
        <f>+Options!C3</f>
        <v>8/30/2016</v>
      </c>
      <c r="D2" s="52"/>
    </row>
    <row r="3" spans="1:25" hidden="1" x14ac:dyDescent="0.25">
      <c r="A3" t="s">
        <v>6</v>
      </c>
      <c r="B3" t="s">
        <v>63</v>
      </c>
      <c r="C3" s="51" t="str">
        <f>+Options!C8</f>
        <v>Ceres NTFB Live</v>
      </c>
      <c r="D3" s="52"/>
    </row>
    <row r="4" spans="1:25" hidden="1" x14ac:dyDescent="0.25">
      <c r="A4" t="s">
        <v>6</v>
      </c>
      <c r="C4" s="52"/>
      <c r="D4" s="52"/>
    </row>
    <row r="5" spans="1:25" hidden="1" x14ac:dyDescent="0.25">
      <c r="A5" t="s">
        <v>6</v>
      </c>
      <c r="C5" s="52"/>
      <c r="D5" s="52"/>
    </row>
    <row r="6" spans="1:25" ht="26.25" x14ac:dyDescent="0.4">
      <c r="D6" s="53" t="str">
        <f>"FOOD4KIDS SIGN-IN  -  DATE: "&amp;C2</f>
        <v>FOOD4KIDS SIGN-IN  -  DATE: 8/30/2016</v>
      </c>
      <c r="F6" s="53"/>
      <c r="X6" s="53"/>
    </row>
    <row r="8" spans="1:25" ht="27" thickBot="1" x14ac:dyDescent="0.45">
      <c r="D8" s="54" t="s">
        <v>60</v>
      </c>
      <c r="E8" s="49"/>
      <c r="F8" s="54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54"/>
      <c r="Y8" s="54"/>
    </row>
    <row r="9" spans="1:25" ht="17.25" thickTop="1" thickBot="1" x14ac:dyDescent="0.3">
      <c r="F9" s="55" t="s">
        <v>64</v>
      </c>
      <c r="H9" s="56" t="s">
        <v>65</v>
      </c>
      <c r="I9" s="56" t="s">
        <v>66</v>
      </c>
      <c r="J9" s="57"/>
      <c r="K9" s="56" t="s">
        <v>67</v>
      </c>
      <c r="L9" s="56"/>
      <c r="M9" s="57"/>
      <c r="N9" s="56"/>
      <c r="O9" s="56"/>
      <c r="P9" s="56"/>
      <c r="Q9" s="56"/>
      <c r="R9" s="56" t="s">
        <v>68</v>
      </c>
      <c r="S9" s="56" t="s">
        <v>69</v>
      </c>
      <c r="T9" s="56" t="s">
        <v>70</v>
      </c>
      <c r="U9" s="56" t="s">
        <v>71</v>
      </c>
      <c r="V9" s="56" t="s">
        <v>72</v>
      </c>
      <c r="W9" s="56" t="s">
        <v>73</v>
      </c>
      <c r="X9" s="56" t="s">
        <v>64</v>
      </c>
      <c r="Y9" s="56" t="s">
        <v>78</v>
      </c>
    </row>
    <row r="10" spans="1:25" ht="20.25" hidden="1" thickTop="1" thickBot="1" x14ac:dyDescent="0.35">
      <c r="A10" t="s">
        <v>6</v>
      </c>
      <c r="E10" s="71" t="str">
        <f>F10</f>
        <v>COLLIN 1</v>
      </c>
      <c r="F10" s="71" t="s">
        <v>898</v>
      </c>
      <c r="H10" t="s">
        <v>74</v>
      </c>
      <c r="I10" s="58" t="s">
        <v>75</v>
      </c>
      <c r="K10" t="s">
        <v>76</v>
      </c>
      <c r="L10" t="s">
        <v>77</v>
      </c>
      <c r="Y10" s="69"/>
    </row>
    <row r="11" spans="1:25" ht="20.25" hidden="1" thickTop="1" thickBot="1" x14ac:dyDescent="0.35">
      <c r="B11" t="str">
        <f>IF(R11="F4K","SHOW","HIDE")</f>
        <v>HIDE</v>
      </c>
      <c r="E11" s="71" t="str">
        <f>E10</f>
        <v>COLLIN 1</v>
      </c>
      <c r="F11" s="59" t="s">
        <v>898</v>
      </c>
      <c r="G11" s="60" t="str">
        <f>H11</f>
        <v>026637P</v>
      </c>
      <c r="H11" s="59" t="s">
        <v>899</v>
      </c>
      <c r="I11" s="61" t="s">
        <v>1173</v>
      </c>
      <c r="J11" s="57"/>
      <c r="K11" s="62" t="s">
        <v>1174</v>
      </c>
      <c r="L11" s="59" t="s">
        <v>727</v>
      </c>
      <c r="M11" s="57"/>
      <c r="N11" s="60"/>
      <c r="O11" s="63"/>
      <c r="P11" s="63"/>
      <c r="Q11" s="63"/>
      <c r="R11" s="62" t="s">
        <v>178</v>
      </c>
      <c r="S11" s="59"/>
      <c r="T11" s="59"/>
      <c r="U11" s="59"/>
      <c r="V11" s="59"/>
      <c r="W11" s="59"/>
      <c r="X11" s="59" t="str">
        <f>+F11</f>
        <v>COLLIN 1</v>
      </c>
      <c r="Y11" s="70"/>
    </row>
    <row r="12" spans="1:25" ht="20.25" hidden="1" thickTop="1" thickBot="1" x14ac:dyDescent="0.35">
      <c r="A12" t="s">
        <v>174</v>
      </c>
      <c r="B12" t="str">
        <f t="shared" ref="B12:B13" si="0">IF(R12="F4K","SHOW","HIDE")</f>
        <v>HIDE</v>
      </c>
      <c r="E12" s="71" t="str">
        <f t="shared" ref="E12:E13" si="1">E11</f>
        <v>COLLIN 1</v>
      </c>
      <c r="F12" s="59" t="s">
        <v>898</v>
      </c>
      <c r="G12" s="60" t="str">
        <f t="shared" ref="G12:G13" si="2">H12</f>
        <v>026077P</v>
      </c>
      <c r="H12" s="59" t="str">
        <f>"026077P"</f>
        <v>026077P</v>
      </c>
      <c r="I12" s="61" t="s">
        <v>1175</v>
      </c>
      <c r="J12" s="57"/>
      <c r="K12" s="62" t="s">
        <v>1174</v>
      </c>
      <c r="L12" s="59" t="s">
        <v>176</v>
      </c>
      <c r="M12" s="57"/>
      <c r="N12" s="60"/>
      <c r="O12" s="63"/>
      <c r="P12" s="63"/>
      <c r="Q12" s="63"/>
      <c r="R12" s="62" t="s">
        <v>178</v>
      </c>
      <c r="S12" s="59"/>
      <c r="T12" s="59"/>
      <c r="U12" s="59"/>
      <c r="V12" s="59"/>
      <c r="W12" s="59"/>
      <c r="X12" s="59" t="str">
        <f t="shared" ref="X12:X13" si="3">+F12</f>
        <v>COLLIN 1</v>
      </c>
      <c r="Y12" s="70"/>
    </row>
    <row r="13" spans="1:25" ht="20.25" hidden="1" thickTop="1" thickBot="1" x14ac:dyDescent="0.35">
      <c r="A13" t="s">
        <v>174</v>
      </c>
      <c r="B13" t="str">
        <f t="shared" si="0"/>
        <v>HIDE</v>
      </c>
      <c r="E13" s="71" t="str">
        <f t="shared" si="1"/>
        <v>COLLIN 1</v>
      </c>
      <c r="F13" s="59" t="s">
        <v>898</v>
      </c>
      <c r="G13" s="60" t="str">
        <f t="shared" si="2"/>
        <v>026508P</v>
      </c>
      <c r="H13" s="59" t="str">
        <f>"026508P"</f>
        <v>026508P</v>
      </c>
      <c r="I13" s="61" t="s">
        <v>1176</v>
      </c>
      <c r="J13" s="57"/>
      <c r="K13" s="62" t="s">
        <v>1174</v>
      </c>
      <c r="L13" s="59" t="s">
        <v>285</v>
      </c>
      <c r="M13" s="57"/>
      <c r="N13" s="60"/>
      <c r="O13" s="63"/>
      <c r="P13" s="63"/>
      <c r="Q13" s="63"/>
      <c r="R13" s="62" t="s">
        <v>178</v>
      </c>
      <c r="S13" s="59"/>
      <c r="T13" s="59"/>
      <c r="U13" s="59"/>
      <c r="V13" s="59"/>
      <c r="W13" s="59"/>
      <c r="X13" s="59" t="str">
        <f t="shared" si="3"/>
        <v>COLLIN 1</v>
      </c>
      <c r="Y13" s="70"/>
    </row>
    <row r="14" spans="1:25" ht="20.25" hidden="1" thickTop="1" thickBot="1" x14ac:dyDescent="0.35">
      <c r="A14" t="s">
        <v>173</v>
      </c>
      <c r="E14" s="71" t="str">
        <f t="shared" ref="E14" si="4">F14</f>
        <v>COLLIN 3</v>
      </c>
      <c r="F14" s="71" t="str">
        <f>"COLLIN 3"</f>
        <v>COLLIN 3</v>
      </c>
      <c r="H14" t="s">
        <v>74</v>
      </c>
      <c r="I14" s="58" t="s">
        <v>75</v>
      </c>
      <c r="K14" t="s">
        <v>76</v>
      </c>
      <c r="L14" t="s">
        <v>77</v>
      </c>
      <c r="Y14" s="69"/>
    </row>
    <row r="15" spans="1:25" ht="20.25" hidden="1" thickTop="1" thickBot="1" x14ac:dyDescent="0.35">
      <c r="A15" t="s">
        <v>174</v>
      </c>
      <c r="B15" t="str">
        <f t="shared" ref="B15" si="5">IF(R15="F4K","SHOW","HIDE")</f>
        <v>HIDE</v>
      </c>
      <c r="E15" s="71" t="str">
        <f t="shared" ref="E15" si="6">E14</f>
        <v>COLLIN 3</v>
      </c>
      <c r="F15" s="59" t="s">
        <v>1198</v>
      </c>
      <c r="G15" s="60" t="str">
        <f t="shared" ref="G15:G18" si="7">H15</f>
        <v>026030P</v>
      </c>
      <c r="H15" s="59" t="s">
        <v>900</v>
      </c>
      <c r="I15" s="61" t="s">
        <v>1177</v>
      </c>
      <c r="J15" s="57"/>
      <c r="K15" s="62" t="s">
        <v>177</v>
      </c>
      <c r="L15" s="59" t="s">
        <v>175</v>
      </c>
      <c r="M15" s="57"/>
      <c r="N15" s="60"/>
      <c r="O15" s="63"/>
      <c r="P15" s="63"/>
      <c r="Q15" s="63"/>
      <c r="R15" s="62" t="s">
        <v>178</v>
      </c>
      <c r="S15" s="59"/>
      <c r="T15" s="59"/>
      <c r="U15" s="59"/>
      <c r="V15" s="59"/>
      <c r="W15" s="59"/>
      <c r="X15" s="59" t="str">
        <f t="shared" ref="X15" si="8">+F15</f>
        <v>COLLIN 3</v>
      </c>
      <c r="Y15" s="70"/>
    </row>
    <row r="16" spans="1:25" ht="20.25" hidden="1" thickTop="1" thickBot="1" x14ac:dyDescent="0.35">
      <c r="A16" t="s">
        <v>174</v>
      </c>
      <c r="B16" t="str">
        <f t="shared" ref="B16:B18" si="9">IF(R16="F4K","SHOW","HIDE")</f>
        <v>HIDE</v>
      </c>
      <c r="E16" s="71" t="str">
        <f t="shared" ref="E16:E18" si="10">E15</f>
        <v>COLLIN 3</v>
      </c>
      <c r="F16" s="59" t="s">
        <v>1198</v>
      </c>
      <c r="G16" s="60" t="str">
        <f t="shared" si="7"/>
        <v>002719P</v>
      </c>
      <c r="H16" s="59" t="str">
        <f>"002719P"</f>
        <v>002719P</v>
      </c>
      <c r="I16" s="61" t="s">
        <v>1178</v>
      </c>
      <c r="J16" s="57"/>
      <c r="K16" s="62" t="s">
        <v>1179</v>
      </c>
      <c r="L16" s="59" t="s">
        <v>175</v>
      </c>
      <c r="M16" s="57"/>
      <c r="N16" s="60"/>
      <c r="O16" s="63"/>
      <c r="P16" s="63"/>
      <c r="Q16" s="63"/>
      <c r="R16" s="62" t="s">
        <v>178</v>
      </c>
      <c r="S16" s="59"/>
      <c r="T16" s="59"/>
      <c r="U16" s="59"/>
      <c r="V16" s="59"/>
      <c r="W16" s="59"/>
      <c r="X16" s="59" t="str">
        <f t="shared" ref="X16:X18" si="11">+F16</f>
        <v>COLLIN 3</v>
      </c>
      <c r="Y16" s="70"/>
    </row>
    <row r="17" spans="1:25" ht="20.25" hidden="1" thickTop="1" thickBot="1" x14ac:dyDescent="0.35">
      <c r="A17" t="s">
        <v>174</v>
      </c>
      <c r="B17" t="str">
        <f t="shared" si="9"/>
        <v>HIDE</v>
      </c>
      <c r="E17" s="71" t="str">
        <f t="shared" si="10"/>
        <v>COLLIN 3</v>
      </c>
      <c r="F17" s="59" t="s">
        <v>1198</v>
      </c>
      <c r="G17" s="60" t="str">
        <f t="shared" si="7"/>
        <v>002127P</v>
      </c>
      <c r="H17" s="59" t="str">
        <f>"002127P"</f>
        <v>002127P</v>
      </c>
      <c r="I17" s="61" t="s">
        <v>1180</v>
      </c>
      <c r="J17" s="57"/>
      <c r="K17" s="62" t="s">
        <v>177</v>
      </c>
      <c r="L17" s="59" t="s">
        <v>728</v>
      </c>
      <c r="M17" s="57"/>
      <c r="N17" s="60"/>
      <c r="O17" s="63"/>
      <c r="P17" s="63"/>
      <c r="Q17" s="63"/>
      <c r="R17" s="62" t="s">
        <v>178</v>
      </c>
      <c r="S17" s="59"/>
      <c r="T17" s="59"/>
      <c r="U17" s="59"/>
      <c r="V17" s="59"/>
      <c r="W17" s="59"/>
      <c r="X17" s="59" t="str">
        <f t="shared" si="11"/>
        <v>COLLIN 3</v>
      </c>
      <c r="Y17" s="70"/>
    </row>
    <row r="18" spans="1:25" ht="20.25" hidden="1" thickTop="1" thickBot="1" x14ac:dyDescent="0.35">
      <c r="A18" t="s">
        <v>174</v>
      </c>
      <c r="B18" t="str">
        <f t="shared" si="9"/>
        <v>HIDE</v>
      </c>
      <c r="E18" s="71" t="str">
        <f t="shared" si="10"/>
        <v>COLLIN 3</v>
      </c>
      <c r="F18" s="59" t="s">
        <v>1198</v>
      </c>
      <c r="G18" s="60" t="str">
        <f t="shared" si="7"/>
        <v>008146P</v>
      </c>
      <c r="H18" s="59" t="str">
        <f>"008146P"</f>
        <v>008146P</v>
      </c>
      <c r="I18" s="61" t="s">
        <v>1181</v>
      </c>
      <c r="J18" s="57"/>
      <c r="K18" s="62" t="s">
        <v>1174</v>
      </c>
      <c r="L18" s="59" t="s">
        <v>175</v>
      </c>
      <c r="M18" s="57"/>
      <c r="N18" s="60"/>
      <c r="O18" s="63"/>
      <c r="P18" s="63"/>
      <c r="Q18" s="63"/>
      <c r="R18" s="62" t="s">
        <v>178</v>
      </c>
      <c r="S18" s="59"/>
      <c r="T18" s="59"/>
      <c r="U18" s="59"/>
      <c r="V18" s="59"/>
      <c r="W18" s="59"/>
      <c r="X18" s="59" t="str">
        <f t="shared" si="11"/>
        <v>COLLIN 3</v>
      </c>
      <c r="Y18" s="70"/>
    </row>
    <row r="19" spans="1:25" ht="20.25" hidden="1" thickTop="1" thickBot="1" x14ac:dyDescent="0.35">
      <c r="A19" t="s">
        <v>173</v>
      </c>
      <c r="E19" s="71" t="str">
        <f t="shared" ref="E19" si="12">F19</f>
        <v>DALLAS 11</v>
      </c>
      <c r="F19" s="71" t="str">
        <f>"DALLAS 11"</f>
        <v>DALLAS 11</v>
      </c>
      <c r="H19" t="s">
        <v>74</v>
      </c>
      <c r="I19" s="58" t="s">
        <v>75</v>
      </c>
      <c r="K19" t="s">
        <v>76</v>
      </c>
      <c r="L19" t="s">
        <v>77</v>
      </c>
      <c r="Y19" s="69"/>
    </row>
    <row r="20" spans="1:25" ht="20.25" hidden="1" thickTop="1" thickBot="1" x14ac:dyDescent="0.35">
      <c r="A20" t="s">
        <v>174</v>
      </c>
      <c r="B20" t="str">
        <f t="shared" ref="B20" si="13">IF(R20="F4K","SHOW","HIDE")</f>
        <v>HIDE</v>
      </c>
      <c r="E20" s="71" t="str">
        <f t="shared" ref="E20" si="14">E19</f>
        <v>DALLAS 11</v>
      </c>
      <c r="F20" s="59" t="s">
        <v>1199</v>
      </c>
      <c r="G20" s="60" t="str">
        <f t="shared" ref="G20" si="15">H20</f>
        <v>002131P</v>
      </c>
      <c r="H20" s="59" t="s">
        <v>901</v>
      </c>
      <c r="I20" s="61" t="s">
        <v>1182</v>
      </c>
      <c r="J20" s="57"/>
      <c r="K20" s="62" t="s">
        <v>177</v>
      </c>
      <c r="L20" s="59" t="s">
        <v>176</v>
      </c>
      <c r="M20" s="57"/>
      <c r="N20" s="60"/>
      <c r="O20" s="63"/>
      <c r="P20" s="63"/>
      <c r="Q20" s="63"/>
      <c r="R20" s="62" t="s">
        <v>178</v>
      </c>
      <c r="S20" s="59"/>
      <c r="T20" s="59"/>
      <c r="U20" s="59"/>
      <c r="V20" s="59"/>
      <c r="W20" s="59"/>
      <c r="X20" s="59" t="str">
        <f t="shared" ref="X20" si="16">+F20</f>
        <v>DALLAS 11</v>
      </c>
      <c r="Y20" s="70"/>
    </row>
    <row r="21" spans="1:25" ht="20.25" hidden="1" thickTop="1" thickBot="1" x14ac:dyDescent="0.35">
      <c r="A21" t="s">
        <v>173</v>
      </c>
      <c r="E21" s="71" t="str">
        <f t="shared" ref="E21" si="17">F21</f>
        <v>DALLAS 4</v>
      </c>
      <c r="F21" s="71" t="str">
        <f>"DALLAS 4"</f>
        <v>DALLAS 4</v>
      </c>
      <c r="H21" t="s">
        <v>74</v>
      </c>
      <c r="I21" s="58" t="s">
        <v>75</v>
      </c>
      <c r="K21" t="s">
        <v>76</v>
      </c>
      <c r="L21" t="s">
        <v>77</v>
      </c>
      <c r="Y21" s="69"/>
    </row>
    <row r="22" spans="1:25" ht="20.25" hidden="1" thickTop="1" thickBot="1" x14ac:dyDescent="0.35">
      <c r="A22" t="s">
        <v>174</v>
      </c>
      <c r="B22" t="str">
        <f t="shared" ref="B22" si="18">IF(R22="F4K","SHOW","HIDE")</f>
        <v>HIDE</v>
      </c>
      <c r="E22" s="71" t="str">
        <f t="shared" ref="E22" si="19">E21</f>
        <v>DALLAS 4</v>
      </c>
      <c r="F22" s="59" t="s">
        <v>1200</v>
      </c>
      <c r="G22" s="60" t="str">
        <f t="shared" ref="G22" si="20">H22</f>
        <v>002218P</v>
      </c>
      <c r="H22" s="59" t="s">
        <v>902</v>
      </c>
      <c r="I22" s="61" t="s">
        <v>1183</v>
      </c>
      <c r="J22" s="57"/>
      <c r="K22" s="62" t="s">
        <v>177</v>
      </c>
      <c r="L22" s="59" t="s">
        <v>176</v>
      </c>
      <c r="M22" s="57"/>
      <c r="N22" s="60"/>
      <c r="O22" s="63"/>
      <c r="P22" s="63"/>
      <c r="Q22" s="63"/>
      <c r="R22" s="62" t="s">
        <v>178</v>
      </c>
      <c r="S22" s="59"/>
      <c r="T22" s="59"/>
      <c r="U22" s="59"/>
      <c r="V22" s="59"/>
      <c r="W22" s="59"/>
      <c r="X22" s="59" t="str">
        <f t="shared" ref="X22" si="21">+F22</f>
        <v>DALLAS 4</v>
      </c>
      <c r="Y22" s="70"/>
    </row>
    <row r="23" spans="1:25" ht="20.25" hidden="1" thickTop="1" thickBot="1" x14ac:dyDescent="0.35">
      <c r="A23" t="s">
        <v>173</v>
      </c>
      <c r="E23" s="71" t="str">
        <f t="shared" ref="E23" si="22">F23</f>
        <v>NAVARRO 1</v>
      </c>
      <c r="F23" s="71" t="str">
        <f>"NAVARRO 1"</f>
        <v>NAVARRO 1</v>
      </c>
      <c r="H23" t="s">
        <v>74</v>
      </c>
      <c r="I23" s="58" t="s">
        <v>75</v>
      </c>
      <c r="K23" t="s">
        <v>76</v>
      </c>
      <c r="L23" t="s">
        <v>77</v>
      </c>
      <c r="Y23" s="69"/>
    </row>
    <row r="24" spans="1:25" ht="20.25" hidden="1" thickTop="1" thickBot="1" x14ac:dyDescent="0.35">
      <c r="A24" t="s">
        <v>174</v>
      </c>
      <c r="B24" t="str">
        <f t="shared" ref="B24" si="23">IF(R24="F4K","SHOW","HIDE")</f>
        <v>HIDE</v>
      </c>
      <c r="E24" s="71" t="str">
        <f t="shared" ref="E24" si="24">E23</f>
        <v>NAVARRO 1</v>
      </c>
      <c r="F24" s="59" t="s">
        <v>737</v>
      </c>
      <c r="G24" s="60" t="str">
        <f t="shared" ref="G24" si="25">H24</f>
        <v>002491P</v>
      </c>
      <c r="H24" s="59" t="s">
        <v>903</v>
      </c>
      <c r="I24" s="61" t="s">
        <v>730</v>
      </c>
      <c r="J24" s="57"/>
      <c r="K24" s="62" t="s">
        <v>729</v>
      </c>
      <c r="L24" s="59" t="s">
        <v>175</v>
      </c>
      <c r="M24" s="57"/>
      <c r="N24" s="60"/>
      <c r="O24" s="63"/>
      <c r="P24" s="63"/>
      <c r="Q24" s="63"/>
      <c r="R24" s="62" t="s">
        <v>178</v>
      </c>
      <c r="S24" s="59"/>
      <c r="T24" s="59"/>
      <c r="U24" s="59"/>
      <c r="V24" s="59"/>
      <c r="W24" s="59"/>
      <c r="X24" s="59" t="str">
        <f t="shared" ref="X24" si="26">+F24</f>
        <v>NAVARRO 1</v>
      </c>
      <c r="Y24" s="70"/>
    </row>
    <row r="25" spans="1:25" ht="27.75" thickTop="1" thickBot="1" x14ac:dyDescent="0.45">
      <c r="D25" s="64" t="s">
        <v>61</v>
      </c>
      <c r="E25" s="65"/>
      <c r="F25" s="66"/>
      <c r="G25" s="65"/>
      <c r="H25" s="67"/>
      <c r="I25" s="67"/>
      <c r="J25" s="65"/>
      <c r="K25" s="67"/>
      <c r="L25" s="67"/>
      <c r="M25" s="65"/>
      <c r="N25" s="65"/>
      <c r="O25" s="67"/>
      <c r="P25" s="67"/>
      <c r="Q25" s="67"/>
      <c r="R25" s="67"/>
      <c r="S25" s="67"/>
      <c r="T25" s="67"/>
      <c r="U25" s="67"/>
      <c r="V25" s="67"/>
      <c r="W25" s="67"/>
      <c r="X25" s="68"/>
    </row>
    <row r="26" spans="1:25" ht="17.25" thickTop="1" thickBot="1" x14ac:dyDescent="0.3">
      <c r="F26" s="55" t="s">
        <v>64</v>
      </c>
      <c r="H26" s="56" t="s">
        <v>65</v>
      </c>
      <c r="I26" s="56" t="s">
        <v>66</v>
      </c>
      <c r="J26" s="57"/>
      <c r="K26" s="56" t="s">
        <v>67</v>
      </c>
      <c r="L26" s="56"/>
      <c r="M26" s="57"/>
      <c r="N26" s="56"/>
      <c r="O26" s="56"/>
      <c r="P26" s="56"/>
      <c r="Q26" s="56"/>
      <c r="R26" s="56" t="s">
        <v>68</v>
      </c>
      <c r="S26" s="56" t="s">
        <v>69</v>
      </c>
      <c r="T26" s="56" t="s">
        <v>70</v>
      </c>
      <c r="U26" s="56" t="s">
        <v>71</v>
      </c>
      <c r="V26" s="56" t="s">
        <v>72</v>
      </c>
      <c r="W26" s="56" t="s">
        <v>73</v>
      </c>
      <c r="X26" s="56" t="s">
        <v>64</v>
      </c>
      <c r="Y26" s="56" t="s">
        <v>78</v>
      </c>
    </row>
    <row r="27" spans="1:25" ht="19.5" hidden="1" thickTop="1" x14ac:dyDescent="0.3">
      <c r="A27" t="s">
        <v>6</v>
      </c>
      <c r="E27" s="71" t="str">
        <f>F27</f>
        <v/>
      </c>
      <c r="F27" s="71" t="s">
        <v>179</v>
      </c>
      <c r="H27" t="s">
        <v>74</v>
      </c>
      <c r="I27" s="58" t="s">
        <v>75</v>
      </c>
      <c r="K27" t="s">
        <v>76</v>
      </c>
      <c r="L27" t="s">
        <v>77</v>
      </c>
      <c r="Y27" s="69"/>
    </row>
    <row r="28" spans="1:25" ht="20.25" hidden="1" thickTop="1" thickBot="1" x14ac:dyDescent="0.35">
      <c r="B28" t="str">
        <f>IF(R28="F4K","SHOW","HIDE")</f>
        <v>HIDE</v>
      </c>
      <c r="E28" s="71" t="str">
        <f>E27</f>
        <v/>
      </c>
      <c r="F28" s="59" t="s">
        <v>61</v>
      </c>
      <c r="G28" s="60" t="str">
        <f>H28</f>
        <v>026392P</v>
      </c>
      <c r="H28" s="59" t="s">
        <v>904</v>
      </c>
      <c r="I28" s="61" t="s">
        <v>731</v>
      </c>
      <c r="J28" s="57"/>
      <c r="K28" s="62" t="s">
        <v>177</v>
      </c>
      <c r="L28" s="59" t="s">
        <v>176</v>
      </c>
      <c r="M28" s="57"/>
      <c r="N28" s="60"/>
      <c r="O28" s="63"/>
      <c r="P28" s="63"/>
      <c r="Q28" s="63"/>
      <c r="R28" s="62" t="s">
        <v>178</v>
      </c>
      <c r="S28" s="59"/>
      <c r="T28" s="59"/>
      <c r="U28" s="59"/>
      <c r="V28" s="59"/>
      <c r="W28" s="59"/>
      <c r="X28" s="59" t="str">
        <f>+F28</f>
        <v>PICKUP</v>
      </c>
      <c r="Y28" s="70"/>
    </row>
    <row r="29" spans="1:25" ht="20.25" hidden="1" thickTop="1" thickBot="1" x14ac:dyDescent="0.35">
      <c r="A29" t="s">
        <v>174</v>
      </c>
      <c r="B29" t="str">
        <f t="shared" ref="B29:B42" si="27">IF(R29="F4K","SHOW","HIDE")</f>
        <v>HIDE</v>
      </c>
      <c r="E29" s="71" t="str">
        <f t="shared" ref="E29:E42" si="28">E28</f>
        <v/>
      </c>
      <c r="F29" s="59" t="s">
        <v>61</v>
      </c>
      <c r="G29" s="60" t="str">
        <f t="shared" ref="G29:G42" si="29">H29</f>
        <v>026056P5</v>
      </c>
      <c r="H29" s="59" t="str">
        <f>"026056P5"</f>
        <v>026056P5</v>
      </c>
      <c r="I29" s="61" t="s">
        <v>1184</v>
      </c>
      <c r="J29" s="57"/>
      <c r="K29" s="62" t="s">
        <v>177</v>
      </c>
      <c r="L29" s="59" t="s">
        <v>175</v>
      </c>
      <c r="M29" s="57"/>
      <c r="N29" s="60"/>
      <c r="O29" s="63"/>
      <c r="P29" s="63"/>
      <c r="Q29" s="63"/>
      <c r="R29" s="62" t="s">
        <v>178</v>
      </c>
      <c r="S29" s="59"/>
      <c r="T29" s="59"/>
      <c r="U29" s="59"/>
      <c r="V29" s="59"/>
      <c r="W29" s="59"/>
      <c r="X29" s="59" t="str">
        <f t="shared" ref="X29:X42" si="30">+F29</f>
        <v>PICKUP</v>
      </c>
      <c r="Y29" s="70"/>
    </row>
    <row r="30" spans="1:25" ht="20.25" hidden="1" thickTop="1" thickBot="1" x14ac:dyDescent="0.35">
      <c r="A30" t="s">
        <v>174</v>
      </c>
      <c r="B30" t="str">
        <f t="shared" si="27"/>
        <v>HIDE</v>
      </c>
      <c r="E30" s="71" t="str">
        <f t="shared" si="28"/>
        <v/>
      </c>
      <c r="F30" s="59" t="s">
        <v>61</v>
      </c>
      <c r="G30" s="60" t="str">
        <f t="shared" si="29"/>
        <v>001042RA</v>
      </c>
      <c r="H30" s="59" t="str">
        <f>"001042RA"</f>
        <v>001042RA</v>
      </c>
      <c r="I30" s="61" t="s">
        <v>1185</v>
      </c>
      <c r="J30" s="57"/>
      <c r="K30" s="62" t="s">
        <v>177</v>
      </c>
      <c r="L30" s="59" t="s">
        <v>175</v>
      </c>
      <c r="M30" s="57"/>
      <c r="N30" s="60"/>
      <c r="O30" s="63"/>
      <c r="P30" s="63"/>
      <c r="Q30" s="63"/>
      <c r="R30" s="62" t="s">
        <v>735</v>
      </c>
      <c r="S30" s="59"/>
      <c r="T30" s="59"/>
      <c r="U30" s="59"/>
      <c r="V30" s="59"/>
      <c r="W30" s="59"/>
      <c r="X30" s="59" t="str">
        <f t="shared" si="30"/>
        <v>PICKUP</v>
      </c>
      <c r="Y30" s="70"/>
    </row>
    <row r="31" spans="1:25" ht="20.25" hidden="1" thickTop="1" thickBot="1" x14ac:dyDescent="0.35">
      <c r="A31" t="s">
        <v>174</v>
      </c>
      <c r="B31" t="str">
        <f t="shared" si="27"/>
        <v>HIDE</v>
      </c>
      <c r="E31" s="71" t="str">
        <f t="shared" si="28"/>
        <v/>
      </c>
      <c r="F31" s="59" t="s">
        <v>61</v>
      </c>
      <c r="G31" s="60" t="str">
        <f t="shared" si="29"/>
        <v>026284P</v>
      </c>
      <c r="H31" s="59" t="str">
        <f>"026284P"</f>
        <v>026284P</v>
      </c>
      <c r="I31" s="61" t="s">
        <v>1186</v>
      </c>
      <c r="J31" s="57"/>
      <c r="K31" s="62" t="s">
        <v>177</v>
      </c>
      <c r="L31" s="59" t="s">
        <v>175</v>
      </c>
      <c r="M31" s="57"/>
      <c r="N31" s="60"/>
      <c r="O31" s="63"/>
      <c r="P31" s="63"/>
      <c r="Q31" s="63"/>
      <c r="R31" s="62" t="s">
        <v>178</v>
      </c>
      <c r="S31" s="59"/>
      <c r="T31" s="59"/>
      <c r="U31" s="59"/>
      <c r="V31" s="59"/>
      <c r="W31" s="59"/>
      <c r="X31" s="59" t="str">
        <f t="shared" si="30"/>
        <v>PICKUP</v>
      </c>
      <c r="Y31" s="70"/>
    </row>
    <row r="32" spans="1:25" ht="20.25" hidden="1" thickTop="1" thickBot="1" x14ac:dyDescent="0.35">
      <c r="A32" t="s">
        <v>174</v>
      </c>
      <c r="B32" t="str">
        <f t="shared" si="27"/>
        <v>HIDE</v>
      </c>
      <c r="E32" s="71" t="str">
        <f t="shared" si="28"/>
        <v/>
      </c>
      <c r="F32" s="59" t="s">
        <v>61</v>
      </c>
      <c r="G32" s="60" t="str">
        <f t="shared" si="29"/>
        <v>002051P</v>
      </c>
      <c r="H32" s="59" t="str">
        <f>"002051P"</f>
        <v>002051P</v>
      </c>
      <c r="I32" s="61" t="s">
        <v>1187</v>
      </c>
      <c r="J32" s="57"/>
      <c r="K32" s="62" t="s">
        <v>177</v>
      </c>
      <c r="L32" s="59" t="s">
        <v>175</v>
      </c>
      <c r="M32" s="57"/>
      <c r="N32" s="60"/>
      <c r="O32" s="63"/>
      <c r="P32" s="63"/>
      <c r="Q32" s="63"/>
      <c r="R32" s="62" t="s">
        <v>178</v>
      </c>
      <c r="S32" s="59"/>
      <c r="T32" s="59"/>
      <c r="U32" s="59"/>
      <c r="V32" s="59"/>
      <c r="W32" s="59"/>
      <c r="X32" s="59" t="str">
        <f t="shared" si="30"/>
        <v>PICKUP</v>
      </c>
      <c r="Y32" s="70"/>
    </row>
    <row r="33" spans="1:25" ht="20.25" hidden="1" thickTop="1" thickBot="1" x14ac:dyDescent="0.35">
      <c r="A33" t="s">
        <v>174</v>
      </c>
      <c r="B33" t="str">
        <f t="shared" si="27"/>
        <v>HIDE</v>
      </c>
      <c r="E33" s="71" t="str">
        <f t="shared" si="28"/>
        <v/>
      </c>
      <c r="F33" s="59" t="s">
        <v>61</v>
      </c>
      <c r="G33" s="60" t="str">
        <f t="shared" si="29"/>
        <v>003549RA</v>
      </c>
      <c r="H33" s="59" t="str">
        <f>"003549RA"</f>
        <v>003549RA</v>
      </c>
      <c r="I33" s="61" t="s">
        <v>1188</v>
      </c>
      <c r="J33" s="57"/>
      <c r="K33" s="62" t="s">
        <v>177</v>
      </c>
      <c r="L33" s="59" t="s">
        <v>1189</v>
      </c>
      <c r="M33" s="57"/>
      <c r="N33" s="60"/>
      <c r="O33" s="63"/>
      <c r="P33" s="63"/>
      <c r="Q33" s="63"/>
      <c r="R33" s="62" t="s">
        <v>736</v>
      </c>
      <c r="S33" s="59"/>
      <c r="T33" s="59"/>
      <c r="U33" s="59"/>
      <c r="V33" s="59"/>
      <c r="W33" s="59"/>
      <c r="X33" s="59" t="str">
        <f t="shared" si="30"/>
        <v>PICKUP</v>
      </c>
      <c r="Y33" s="70"/>
    </row>
    <row r="34" spans="1:25" ht="20.25" hidden="1" thickTop="1" thickBot="1" x14ac:dyDescent="0.35">
      <c r="A34" t="s">
        <v>174</v>
      </c>
      <c r="B34" t="str">
        <f t="shared" si="27"/>
        <v>HIDE</v>
      </c>
      <c r="E34" s="71" t="str">
        <f t="shared" si="28"/>
        <v/>
      </c>
      <c r="F34" s="59" t="s">
        <v>61</v>
      </c>
      <c r="G34" s="60" t="str">
        <f t="shared" si="29"/>
        <v>004052HSF</v>
      </c>
      <c r="H34" s="59" t="str">
        <f>"004052HSF"</f>
        <v>004052HSF</v>
      </c>
      <c r="I34" s="61" t="s">
        <v>1190</v>
      </c>
      <c r="J34" s="57"/>
      <c r="K34" s="62" t="s">
        <v>177</v>
      </c>
      <c r="L34" s="59" t="s">
        <v>175</v>
      </c>
      <c r="M34" s="57"/>
      <c r="N34" s="60"/>
      <c r="O34" s="63"/>
      <c r="P34" s="63"/>
      <c r="Q34" s="63"/>
      <c r="R34" s="62" t="s">
        <v>1197</v>
      </c>
      <c r="S34" s="59"/>
      <c r="T34" s="59"/>
      <c r="U34" s="59"/>
      <c r="V34" s="59"/>
      <c r="W34" s="59"/>
      <c r="X34" s="59" t="str">
        <f t="shared" si="30"/>
        <v>PICKUP</v>
      </c>
      <c r="Y34" s="70"/>
    </row>
    <row r="35" spans="1:25" ht="20.25" hidden="1" thickTop="1" thickBot="1" x14ac:dyDescent="0.35">
      <c r="A35" t="s">
        <v>174</v>
      </c>
      <c r="B35" t="str">
        <f t="shared" si="27"/>
        <v>HIDE</v>
      </c>
      <c r="E35" s="71" t="str">
        <f t="shared" si="28"/>
        <v/>
      </c>
      <c r="F35" s="59" t="s">
        <v>61</v>
      </c>
      <c r="G35" s="60" t="str">
        <f t="shared" si="29"/>
        <v>003405P</v>
      </c>
      <c r="H35" s="59" t="str">
        <f>"003405P"</f>
        <v>003405P</v>
      </c>
      <c r="I35" s="61" t="s">
        <v>1191</v>
      </c>
      <c r="J35" s="57"/>
      <c r="K35" s="62" t="s">
        <v>177</v>
      </c>
      <c r="L35" s="59" t="s">
        <v>176</v>
      </c>
      <c r="M35" s="57"/>
      <c r="N35" s="60"/>
      <c r="O35" s="63"/>
      <c r="P35" s="63"/>
      <c r="Q35" s="63"/>
      <c r="R35" s="62" t="s">
        <v>178</v>
      </c>
      <c r="S35" s="59"/>
      <c r="T35" s="59"/>
      <c r="U35" s="59"/>
      <c r="V35" s="59"/>
      <c r="W35" s="59"/>
      <c r="X35" s="59" t="str">
        <f t="shared" si="30"/>
        <v>PICKUP</v>
      </c>
      <c r="Y35" s="70"/>
    </row>
    <row r="36" spans="1:25" ht="20.25" hidden="1" thickTop="1" thickBot="1" x14ac:dyDescent="0.35">
      <c r="A36" t="s">
        <v>174</v>
      </c>
      <c r="B36" t="str">
        <f t="shared" si="27"/>
        <v>HIDE</v>
      </c>
      <c r="E36" s="71" t="str">
        <f t="shared" si="28"/>
        <v/>
      </c>
      <c r="F36" s="59" t="s">
        <v>61</v>
      </c>
      <c r="G36" s="60" t="str">
        <f t="shared" si="29"/>
        <v>026575P</v>
      </c>
      <c r="H36" s="59" t="str">
        <f>"026575P"</f>
        <v>026575P</v>
      </c>
      <c r="I36" s="61" t="s">
        <v>1192</v>
      </c>
      <c r="J36" s="57"/>
      <c r="K36" s="62" t="s">
        <v>177</v>
      </c>
      <c r="L36" s="59" t="s">
        <v>175</v>
      </c>
      <c r="M36" s="57"/>
      <c r="N36" s="60"/>
      <c r="O36" s="63"/>
      <c r="P36" s="63"/>
      <c r="Q36" s="63"/>
      <c r="R36" s="62" t="s">
        <v>178</v>
      </c>
      <c r="S36" s="59"/>
      <c r="T36" s="59"/>
      <c r="U36" s="59"/>
      <c r="V36" s="59"/>
      <c r="W36" s="59"/>
      <c r="X36" s="59" t="str">
        <f t="shared" si="30"/>
        <v>PICKUP</v>
      </c>
      <c r="Y36" s="70"/>
    </row>
    <row r="37" spans="1:25" ht="20.25" hidden="1" thickTop="1" thickBot="1" x14ac:dyDescent="0.35">
      <c r="A37" t="s">
        <v>174</v>
      </c>
      <c r="B37" t="str">
        <f t="shared" si="27"/>
        <v>HIDE</v>
      </c>
      <c r="E37" s="71" t="str">
        <f t="shared" si="28"/>
        <v/>
      </c>
      <c r="F37" s="59" t="s">
        <v>61</v>
      </c>
      <c r="G37" s="60" t="str">
        <f t="shared" si="29"/>
        <v>002098P</v>
      </c>
      <c r="H37" s="59" t="str">
        <f>"002098P"</f>
        <v>002098P</v>
      </c>
      <c r="I37" s="61" t="s">
        <v>1193</v>
      </c>
      <c r="J37" s="57"/>
      <c r="K37" s="62" t="s">
        <v>177</v>
      </c>
      <c r="L37" s="59" t="s">
        <v>175</v>
      </c>
      <c r="M37" s="57"/>
      <c r="N37" s="60"/>
      <c r="O37" s="63"/>
      <c r="P37" s="63"/>
      <c r="Q37" s="63"/>
      <c r="R37" s="62" t="s">
        <v>178</v>
      </c>
      <c r="S37" s="59"/>
      <c r="T37" s="59"/>
      <c r="U37" s="59"/>
      <c r="V37" s="59"/>
      <c r="W37" s="59"/>
      <c r="X37" s="59" t="str">
        <f t="shared" si="30"/>
        <v>PICKUP</v>
      </c>
      <c r="Y37" s="70"/>
    </row>
    <row r="38" spans="1:25" ht="20.25" hidden="1" thickTop="1" thickBot="1" x14ac:dyDescent="0.35">
      <c r="A38" t="s">
        <v>174</v>
      </c>
      <c r="B38" t="str">
        <f t="shared" si="27"/>
        <v>HIDE</v>
      </c>
      <c r="E38" s="71" t="str">
        <f t="shared" si="28"/>
        <v/>
      </c>
      <c r="F38" s="59" t="s">
        <v>61</v>
      </c>
      <c r="G38" s="60" t="str">
        <f t="shared" si="29"/>
        <v>026066RA1</v>
      </c>
      <c r="H38" s="59" t="str">
        <f>"026066RA1"</f>
        <v>026066RA1</v>
      </c>
      <c r="I38" s="61" t="s">
        <v>732</v>
      </c>
      <c r="J38" s="57"/>
      <c r="K38" s="62" t="s">
        <v>177</v>
      </c>
      <c r="L38" s="59" t="s">
        <v>175</v>
      </c>
      <c r="M38" s="57"/>
      <c r="N38" s="60"/>
      <c r="O38" s="63"/>
      <c r="P38" s="63"/>
      <c r="Q38" s="63"/>
      <c r="R38" s="62" t="s">
        <v>736</v>
      </c>
      <c r="S38" s="59"/>
      <c r="T38" s="59"/>
      <c r="U38" s="59"/>
      <c r="V38" s="59"/>
      <c r="W38" s="59"/>
      <c r="X38" s="59" t="str">
        <f t="shared" si="30"/>
        <v>PICKUP</v>
      </c>
      <c r="Y38" s="70"/>
    </row>
    <row r="39" spans="1:25" ht="20.25" hidden="1" thickTop="1" thickBot="1" x14ac:dyDescent="0.35">
      <c r="A39" t="s">
        <v>174</v>
      </c>
      <c r="B39" t="str">
        <f t="shared" si="27"/>
        <v>HIDE</v>
      </c>
      <c r="E39" s="71" t="str">
        <f t="shared" si="28"/>
        <v/>
      </c>
      <c r="F39" s="59" t="s">
        <v>61</v>
      </c>
      <c r="G39" s="60" t="str">
        <f t="shared" si="29"/>
        <v>013600CSFP</v>
      </c>
      <c r="H39" s="59" t="str">
        <f>"013600CSFP"</f>
        <v>013600CSFP</v>
      </c>
      <c r="I39" s="61" t="s">
        <v>726</v>
      </c>
      <c r="J39" s="57"/>
      <c r="K39" s="62" t="s">
        <v>177</v>
      </c>
      <c r="L39" s="59" t="s">
        <v>175</v>
      </c>
      <c r="M39" s="57"/>
      <c r="N39" s="60"/>
      <c r="O39" s="63"/>
      <c r="P39" s="63"/>
      <c r="Q39" s="63"/>
      <c r="R39" s="62" t="s">
        <v>734</v>
      </c>
      <c r="S39" s="59"/>
      <c r="T39" s="59"/>
      <c r="U39" s="59"/>
      <c r="V39" s="59"/>
      <c r="W39" s="59"/>
      <c r="X39" s="59" t="str">
        <f t="shared" si="30"/>
        <v>PICKUP</v>
      </c>
      <c r="Y39" s="70"/>
    </row>
    <row r="40" spans="1:25" ht="20.25" hidden="1" thickTop="1" thickBot="1" x14ac:dyDescent="0.35">
      <c r="A40" t="s">
        <v>174</v>
      </c>
      <c r="B40" t="str">
        <f t="shared" si="27"/>
        <v>HIDE</v>
      </c>
      <c r="E40" s="71" t="str">
        <f t="shared" si="28"/>
        <v/>
      </c>
      <c r="F40" s="59" t="s">
        <v>61</v>
      </c>
      <c r="G40" s="60" t="str">
        <f t="shared" si="29"/>
        <v>002052P</v>
      </c>
      <c r="H40" s="59" t="str">
        <f>"002052P"</f>
        <v>002052P</v>
      </c>
      <c r="I40" s="61" t="s">
        <v>1194</v>
      </c>
      <c r="J40" s="57"/>
      <c r="K40" s="62" t="s">
        <v>177</v>
      </c>
      <c r="L40" s="59" t="s">
        <v>175</v>
      </c>
      <c r="M40" s="57"/>
      <c r="N40" s="60"/>
      <c r="O40" s="63"/>
      <c r="P40" s="63"/>
      <c r="Q40" s="63"/>
      <c r="R40" s="62" t="s">
        <v>178</v>
      </c>
      <c r="S40" s="59"/>
      <c r="T40" s="59"/>
      <c r="U40" s="59"/>
      <c r="V40" s="59"/>
      <c r="W40" s="59"/>
      <c r="X40" s="59" t="str">
        <f t="shared" si="30"/>
        <v>PICKUP</v>
      </c>
      <c r="Y40" s="70"/>
    </row>
    <row r="41" spans="1:25" ht="20.25" hidden="1" thickTop="1" thickBot="1" x14ac:dyDescent="0.35">
      <c r="A41" t="s">
        <v>174</v>
      </c>
      <c r="B41" t="str">
        <f t="shared" si="27"/>
        <v>HIDE</v>
      </c>
      <c r="E41" s="71" t="str">
        <f t="shared" si="28"/>
        <v/>
      </c>
      <c r="F41" s="59" t="s">
        <v>61</v>
      </c>
      <c r="G41" s="60" t="str">
        <f t="shared" si="29"/>
        <v>026536RA</v>
      </c>
      <c r="H41" s="59" t="str">
        <f>"026536RA"</f>
        <v>026536RA</v>
      </c>
      <c r="I41" s="61" t="s">
        <v>1195</v>
      </c>
      <c r="J41" s="57"/>
      <c r="K41" s="62" t="s">
        <v>177</v>
      </c>
      <c r="L41" s="59" t="s">
        <v>176</v>
      </c>
      <c r="M41" s="57"/>
      <c r="N41" s="60"/>
      <c r="O41" s="63"/>
      <c r="P41" s="63"/>
      <c r="Q41" s="63"/>
      <c r="R41" s="62" t="s">
        <v>736</v>
      </c>
      <c r="S41" s="59"/>
      <c r="T41" s="59"/>
      <c r="U41" s="59"/>
      <c r="V41" s="59"/>
      <c r="W41" s="59"/>
      <c r="X41" s="59" t="str">
        <f t="shared" si="30"/>
        <v>PICKUP</v>
      </c>
      <c r="Y41" s="70"/>
    </row>
    <row r="42" spans="1:25" ht="20.25" hidden="1" thickTop="1" thickBot="1" x14ac:dyDescent="0.35">
      <c r="A42" t="s">
        <v>174</v>
      </c>
      <c r="B42" t="str">
        <f t="shared" si="27"/>
        <v>HIDE</v>
      </c>
      <c r="E42" s="71" t="str">
        <f t="shared" si="28"/>
        <v/>
      </c>
      <c r="F42" s="59" t="s">
        <v>61</v>
      </c>
      <c r="G42" s="60" t="str">
        <f t="shared" si="29"/>
        <v>002341P</v>
      </c>
      <c r="H42" s="59" t="str">
        <f>"002341P"</f>
        <v>002341P</v>
      </c>
      <c r="I42" s="61" t="s">
        <v>1196</v>
      </c>
      <c r="J42" s="57"/>
      <c r="K42" s="62" t="s">
        <v>177</v>
      </c>
      <c r="L42" s="59" t="s">
        <v>285</v>
      </c>
      <c r="M42" s="57"/>
      <c r="N42" s="60"/>
      <c r="O42" s="63"/>
      <c r="P42" s="63"/>
      <c r="Q42" s="63"/>
      <c r="R42" s="62" t="s">
        <v>178</v>
      </c>
      <c r="S42" s="59"/>
      <c r="T42" s="59"/>
      <c r="U42" s="59"/>
      <c r="V42" s="59"/>
      <c r="W42" s="59"/>
      <c r="X42" s="59" t="str">
        <f t="shared" si="30"/>
        <v>PICKUP</v>
      </c>
      <c r="Y42" s="70"/>
    </row>
    <row r="43" spans="1:25" ht="15.75" thickTop="1" x14ac:dyDescent="0.25"/>
  </sheetData>
  <pageMargins left="0.25" right="0.25" top="0" bottom="0" header="0.3" footer="0.3"/>
  <pageSetup scale="71" fitToHeight="0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1633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>HIDESHEET</v>
      </c>
      <c r="C2" s="74" t="s">
        <v>7</v>
      </c>
      <c r="D2" s="181" t="str">
        <f>IF(E26="",F5&amp;"  ("&amp;F4&amp;") - NO "&amp;C25,F5&amp;"  ("&amp;F4&amp;") - "&amp;C25&amp;" PICK LIST")</f>
        <v>SALVATION ARMY OAK CLIFF  (002052P)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"002052P"</f>
        <v>002052P</v>
      </c>
      <c r="E4" s="101" t="s">
        <v>37</v>
      </c>
      <c r="F4" s="105" t="str">
        <f>C4</f>
        <v>002052P</v>
      </c>
      <c r="K4" s="101" t="s">
        <v>42</v>
      </c>
      <c r="L4" s="104"/>
      <c r="M4" s="111">
        <f>SUM(I26:I27)</f>
        <v>0</v>
      </c>
    </row>
    <row r="5" spans="1:26" ht="18" hidden="1" customHeight="1" x14ac:dyDescent="0.25">
      <c r="B5" s="76" t="str">
        <f t="shared" si="0"/>
        <v>Hide</v>
      </c>
      <c r="C5" s="109" t="s">
        <v>1230</v>
      </c>
      <c r="E5" s="101" t="s">
        <v>36</v>
      </c>
      <c r="F5" s="112" t="s">
        <v>1194</v>
      </c>
      <c r="K5" s="101" t="s">
        <v>43</v>
      </c>
      <c r="L5" s="104"/>
      <c r="M5" s="111">
        <f>ROUND(SUM(O26:O27),0)</f>
        <v>0</v>
      </c>
    </row>
    <row r="6" spans="1:26" ht="18" hidden="1" customHeight="1" x14ac:dyDescent="0.25">
      <c r="B6" s="76" t="str">
        <f t="shared" si="0"/>
        <v>Hide</v>
      </c>
      <c r="C6" s="109" t="s">
        <v>1231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ROUND(COUNT(O26:O27),0)</f>
        <v>0</v>
      </c>
      <c r="P6" s="101"/>
      <c r="W6" s="101" t="str">
        <f>"ESTIMATED "&amp;O25&amp;"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E16</f>
        <v>A108237|A108237|A108237|A108237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F16</f>
        <v>ITPN-207456|ITPN-207457|ITPN-207460|ITPN-207456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B15</f>
        <v>Hide</v>
      </c>
      <c r="C12" s="74" t="s">
        <v>1230</v>
      </c>
      <c r="E12" s="74" t="s">
        <v>1226</v>
      </c>
      <c r="F12" s="74" t="s">
        <v>1227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4" si="1">B16</f>
        <v>Hide</v>
      </c>
      <c r="C13" s="74" t="str">
        <f>"""Ceres NTFB Live"",""NTFB Live"",""5766"",""1"",""Invt. Pick"",""2"",""ITPN-207457"""</f>
        <v>"Ceres NTFB Live","NTFB Live","5766","1","Invt. Pick","2","ITPN-207457"</v>
      </c>
      <c r="E13" s="74" t="s">
        <v>1226</v>
      </c>
      <c r="F13" s="74" t="s">
        <v>1228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Pick"",""2"",""ITPN-207460"""</f>
        <v>"Ceres NTFB Live","NTFB Live","5766","1","Invt. Pick","2","ITPN-207460"</v>
      </c>
      <c r="E14" s="74" t="s">
        <v>1226</v>
      </c>
      <c r="F14" s="74" t="s">
        <v>1229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ref="B15:B25" si="2">B16</f>
        <v>Hide</v>
      </c>
      <c r="C15" s="74" t="s">
        <v>1226</v>
      </c>
      <c r="E15" s="74" t="str">
        <f>E12</f>
        <v>A108237</v>
      </c>
      <c r="F15" s="74" t="str">
        <f>F12</f>
        <v>ITPN-207456</v>
      </c>
      <c r="I15" s="98"/>
      <c r="J15" s="98"/>
      <c r="K15" s="98"/>
      <c r="L15" s="98"/>
      <c r="M15" s="98"/>
    </row>
    <row r="16" spans="1:26" hidden="1" x14ac:dyDescent="0.25">
      <c r="A16" s="74" t="s">
        <v>6</v>
      </c>
      <c r="B16" s="76" t="str">
        <f t="shared" si="2"/>
        <v>Hide</v>
      </c>
      <c r="E16" s="92" t="s">
        <v>1801</v>
      </c>
      <c r="F16" s="92" t="s">
        <v>1802</v>
      </c>
      <c r="I16" s="98"/>
      <c r="J16" s="98"/>
      <c r="K16" s="98"/>
      <c r="L16" s="98"/>
      <c r="M16" s="98"/>
    </row>
    <row r="17" spans="1:17" hidden="1" x14ac:dyDescent="0.25">
      <c r="B17" s="76" t="str">
        <f t="shared" si="2"/>
        <v>Hide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hidden="1" x14ac:dyDescent="0.25">
      <c r="B18" s="76" t="str">
        <f t="shared" si="2"/>
        <v>Hide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hidden="1" thickBot="1" x14ac:dyDescent="0.3">
      <c r="B19" s="76" t="str">
        <f t="shared" si="2"/>
        <v>Hide</v>
      </c>
      <c r="F19" s="190"/>
      <c r="G19" s="191"/>
      <c r="H19" s="191"/>
      <c r="I19" s="191"/>
      <c r="J19" s="191"/>
      <c r="K19" s="191"/>
      <c r="L19" s="191"/>
      <c r="M19" s="192"/>
    </row>
    <row r="20" spans="1:17" hidden="1" x14ac:dyDescent="0.25">
      <c r="B20" s="76" t="str">
        <f t="shared" si="2"/>
        <v>Hide</v>
      </c>
    </row>
    <row r="21" spans="1:17" hidden="1" x14ac:dyDescent="0.25">
      <c r="B21" s="76" t="str">
        <f t="shared" si="2"/>
        <v>Hide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hidden="1" x14ac:dyDescent="0.25">
      <c r="B22" s="76" t="str">
        <f t="shared" si="2"/>
        <v>Hide</v>
      </c>
      <c r="E22" s="101"/>
    </row>
    <row r="23" spans="1:17" hidden="1" x14ac:dyDescent="0.25">
      <c r="B23" s="76" t="str">
        <f t="shared" si="2"/>
        <v>Hide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hidden="1" x14ac:dyDescent="0.25">
      <c r="B24" s="76" t="str">
        <f t="shared" si="2"/>
        <v>Hide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hidden="1" customHeight="1" x14ac:dyDescent="0.25">
      <c r="A25" s="97"/>
      <c r="B25" s="76" t="str">
        <f t="shared" si="2"/>
        <v>Hide</v>
      </c>
      <c r="C25" s="96" t="s">
        <v>44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hidden="1" customHeight="1" x14ac:dyDescent="0.25">
      <c r="B26" s="92" t="str">
        <f>IF(I26="","Hide","Show")</f>
        <v>Hide</v>
      </c>
      <c r="C26" s="74" t="s">
        <v>179</v>
      </c>
      <c r="D26" s="89" t="s">
        <v>179</v>
      </c>
      <c r="E26" s="89" t="s">
        <v>179</v>
      </c>
      <c r="F26" s="89" t="s">
        <v>179</v>
      </c>
      <c r="G26" s="91" t="s">
        <v>180</v>
      </c>
      <c r="H26" s="90" t="s">
        <v>179</v>
      </c>
      <c r="I26" s="89" t="s">
        <v>179</v>
      </c>
      <c r="J26" s="89" t="s">
        <v>179</v>
      </c>
      <c r="K26" s="88"/>
      <c r="L26" s="87"/>
      <c r="M26" s="87"/>
      <c r="N26" s="85" t="s">
        <v>179</v>
      </c>
      <c r="O26" s="85" t="s">
        <v>179</v>
      </c>
      <c r="P26" s="85" t="s">
        <v>179</v>
      </c>
      <c r="Q26" s="86" t="s">
        <v>56</v>
      </c>
    </row>
    <row r="27" spans="1:17" hidden="1" x14ac:dyDescent="0.25">
      <c r="B27" s="74" t="str">
        <f>B26</f>
        <v>Hide</v>
      </c>
      <c r="H27" s="85"/>
      <c r="I27" s="85"/>
    </row>
    <row r="28" spans="1:17" ht="15.75" hidden="1" thickBot="1" x14ac:dyDescent="0.3">
      <c r="B28" s="74" t="str">
        <f>+B27</f>
        <v>Hide</v>
      </c>
      <c r="D28" s="193" t="str">
        <f>+"END OF "&amp;D2</f>
        <v>END OF SALVATION ARMY OAK CLIFF  (002052P) - NO REF|EGGS</v>
      </c>
      <c r="E28" s="194"/>
      <c r="F28" s="194"/>
      <c r="G28" s="194"/>
      <c r="H28" s="194"/>
      <c r="I28" s="194"/>
      <c r="J28" s="194"/>
      <c r="K28" s="194"/>
      <c r="L28" s="194"/>
      <c r="M28" s="195"/>
    </row>
    <row r="29" spans="1:17" ht="15.75" thickBot="1" x14ac:dyDescent="0.3"/>
    <row r="30" spans="1:17" ht="80.099999999999994" customHeight="1" thickBot="1" x14ac:dyDescent="0.3">
      <c r="A30" s="76" t="s">
        <v>30</v>
      </c>
      <c r="D30" s="166" t="str">
        <f>+F6</f>
        <v>PICKUP</v>
      </c>
      <c r="E30" s="167"/>
      <c r="F30" s="167"/>
      <c r="G30" s="167"/>
      <c r="H30" s="167"/>
      <c r="I30" s="167"/>
      <c r="J30" s="167"/>
      <c r="K30" s="167"/>
      <c r="L30" s="167"/>
      <c r="M30" s="168"/>
    </row>
    <row r="31" spans="1:17" ht="36.75" x14ac:dyDescent="0.45">
      <c r="A31" s="76" t="s">
        <v>30</v>
      </c>
      <c r="D31" s="176" t="s">
        <v>12</v>
      </c>
      <c r="E31" s="177"/>
      <c r="F31" s="196" t="str">
        <f>+F4</f>
        <v>002052P</v>
      </c>
      <c r="G31" s="196"/>
      <c r="H31" s="196"/>
      <c r="I31" s="196"/>
      <c r="J31" s="196"/>
      <c r="K31" s="196"/>
      <c r="L31" s="196"/>
      <c r="M31" s="197"/>
    </row>
    <row r="32" spans="1:17" ht="37.5" customHeight="1" thickBot="1" x14ac:dyDescent="0.5">
      <c r="A32" s="76" t="s">
        <v>30</v>
      </c>
      <c r="D32" s="158" t="s">
        <v>5</v>
      </c>
      <c r="E32" s="159"/>
      <c r="F32" s="161" t="str">
        <f>+F5</f>
        <v>SALVATION ARMY OAK CLIFF</v>
      </c>
      <c r="G32" s="161"/>
      <c r="H32" s="161"/>
      <c r="I32" s="161"/>
      <c r="J32" s="161"/>
      <c r="K32" s="161"/>
      <c r="L32" s="161"/>
      <c r="M32" s="162"/>
      <c r="N32" s="84"/>
      <c r="O32" s="84"/>
      <c r="P32" s="84"/>
    </row>
    <row r="33" spans="1:13" ht="33.75" hidden="1" thickBot="1" x14ac:dyDescent="0.45">
      <c r="A33" s="76" t="s">
        <v>19</v>
      </c>
      <c r="D33" s="172" t="s">
        <v>49</v>
      </c>
      <c r="E33" s="173"/>
      <c r="F33" s="82"/>
      <c r="G33" s="83"/>
      <c r="H33" s="82"/>
      <c r="I33" s="82"/>
      <c r="J33" s="82"/>
      <c r="K33" s="82"/>
      <c r="L33" s="82"/>
      <c r="M33" s="81"/>
    </row>
    <row r="34" spans="1:13" ht="30" hidden="1" customHeight="1" x14ac:dyDescent="0.25">
      <c r="A34" s="76" t="s">
        <v>19</v>
      </c>
      <c r="D34" s="80"/>
      <c r="E34" s="78"/>
      <c r="F34" s="174" t="s">
        <v>1226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>PICKUP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7">
    <mergeCell ref="D2:M2"/>
    <mergeCell ref="F17:M19"/>
    <mergeCell ref="D28:M28"/>
    <mergeCell ref="D30:M30"/>
    <mergeCell ref="D31:E31"/>
    <mergeCell ref="F31:M31"/>
    <mergeCell ref="D32:E32"/>
    <mergeCell ref="F32:M32"/>
    <mergeCell ref="D33:E33"/>
    <mergeCell ref="F34:M34"/>
    <mergeCell ref="D36:E36"/>
    <mergeCell ref="F36:M36"/>
    <mergeCell ref="D37:E37"/>
    <mergeCell ref="F37:M37"/>
    <mergeCell ref="D38:M38"/>
    <mergeCell ref="D39:M39"/>
    <mergeCell ref="D40:M40"/>
  </mergeCells>
  <conditionalFormatting sqref="F6">
    <cfRule type="cellIs" dxfId="349" priority="5" operator="equal">
      <formula>"DELIVER"</formula>
    </cfRule>
  </conditionalFormatting>
  <conditionalFormatting sqref="D30">
    <cfRule type="cellIs" dxfId="348" priority="4" operator="equal">
      <formula>"DELIVER"</formula>
    </cfRule>
  </conditionalFormatting>
  <conditionalFormatting sqref="D2:M2">
    <cfRule type="expression" dxfId="347" priority="3">
      <formula>$F$6="DELIVER"</formula>
    </cfRule>
  </conditionalFormatting>
  <conditionalFormatting sqref="G6">
    <cfRule type="expression" dxfId="346" priority="2">
      <formula>$F$6="DELIVER"</formula>
    </cfRule>
  </conditionalFormatting>
  <conditionalFormatting sqref="D39">
    <cfRule type="expression" dxfId="34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8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1635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HIGHLAND OAKS CHURCH OF CHRIST  (002098P)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"002098P"</f>
        <v>002098P</v>
      </c>
      <c r="E4" s="101" t="s">
        <v>37</v>
      </c>
      <c r="F4" s="105" t="str">
        <f>C4</f>
        <v>002098P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1240</v>
      </c>
      <c r="E5" s="101" t="s">
        <v>36</v>
      </c>
      <c r="F5" s="112" t="s">
        <v>1193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1241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A108356|A108356|A108356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ITPN-207476|ITPN-207478|ITPN-207476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1240</v>
      </c>
      <c r="E12" s="74" t="s">
        <v>1235</v>
      </c>
      <c r="F12" s="74" t="s">
        <v>1236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Pick"",""2"",""ITPN-207478"""</f>
        <v>"Ceres NTFB Live","NTFB Live","5766","1","Invt. Pick","2","ITPN-207478"</v>
      </c>
      <c r="E13" s="74" t="s">
        <v>1235</v>
      </c>
      <c r="F13" s="74" t="s">
        <v>1237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1235</v>
      </c>
      <c r="E14" s="74" t="str">
        <f>E12</f>
        <v>A108356</v>
      </c>
      <c r="F14" s="74" t="str">
        <f>F12</f>
        <v>ITPN-207476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1238</v>
      </c>
      <c r="F15" s="92" t="s">
        <v>1239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96" t="s">
        <v>44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HIGHLAND OAKS CHURCH OF CHRIST  (002098P) - NO REF|EGGS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002098P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HIGHLAND OAKS CHURCH OF CHRIST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1235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344" priority="5" operator="equal">
      <formula>"DELIVER"</formula>
    </cfRule>
  </conditionalFormatting>
  <conditionalFormatting sqref="D29">
    <cfRule type="cellIs" dxfId="343" priority="4" operator="equal">
      <formula>"DELIVER"</formula>
    </cfRule>
  </conditionalFormatting>
  <conditionalFormatting sqref="D2:M2">
    <cfRule type="expression" dxfId="342" priority="3">
      <formula>$F$6="DELIVER"</formula>
    </cfRule>
  </conditionalFormatting>
  <conditionalFormatting sqref="G6">
    <cfRule type="expression" dxfId="341" priority="2">
      <formula>$F$6="DELIVER"</formula>
    </cfRule>
  </conditionalFormatting>
  <conditionalFormatting sqref="D38">
    <cfRule type="expression" dxfId="34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1637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>HIDESHEET</v>
      </c>
      <c r="C2" s="74" t="s">
        <v>7</v>
      </c>
      <c r="D2" s="181" t="str">
        <f>IF(E28="",F5&amp;"  ("&amp;F4&amp;") - NO "&amp;C27,F5&amp;"  ("&amp;F4&amp;") - "&amp;C27&amp;" PICK LIST")</f>
        <v>METROCREST SERVICES  (002127P)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"002127P"</f>
        <v>002127P</v>
      </c>
      <c r="E4" s="101" t="s">
        <v>37</v>
      </c>
      <c r="F4" s="105" t="str">
        <f>C4</f>
        <v>002127P</v>
      </c>
      <c r="K4" s="101" t="s">
        <v>42</v>
      </c>
      <c r="L4" s="104"/>
      <c r="M4" s="111">
        <f>SUM(I28:I29)</f>
        <v>0</v>
      </c>
    </row>
    <row r="5" spans="1:26" ht="18" hidden="1" customHeight="1" x14ac:dyDescent="0.25">
      <c r="B5" s="76" t="str">
        <f t="shared" si="0"/>
        <v>Hide</v>
      </c>
      <c r="C5" s="109" t="s">
        <v>1245</v>
      </c>
      <c r="E5" s="101" t="s">
        <v>36</v>
      </c>
      <c r="F5" s="112" t="s">
        <v>1180</v>
      </c>
      <c r="K5" s="101" t="s">
        <v>43</v>
      </c>
      <c r="L5" s="104"/>
      <c r="M5" s="111">
        <f>ROUND(SUM(O28:O29),0)</f>
        <v>0</v>
      </c>
    </row>
    <row r="6" spans="1:26" ht="18" hidden="1" customHeight="1" x14ac:dyDescent="0.25">
      <c r="B6" s="76" t="str">
        <f t="shared" si="0"/>
        <v>Hide</v>
      </c>
      <c r="C6" s="109" t="s">
        <v>1246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ROUND(COUNT(O28:O29),0)</f>
        <v>0</v>
      </c>
      <c r="P6" s="101"/>
      <c r="W6" s="101" t="str">
        <f>"ESTIMATED "&amp;O27&amp;"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E18</f>
        <v>A107851|A107851|A108061|A108407|A108407|A107851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F18</f>
        <v>ITPN-207428|ITPN-207429|ITPN-207443|ITPN-207500|ITPN-207501|ITPN-207428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B17</f>
        <v>Hide</v>
      </c>
      <c r="C12" s="74" t="s">
        <v>1249</v>
      </c>
      <c r="E12" s="74" t="str">
        <f>"A107851"</f>
        <v>A107851</v>
      </c>
      <c r="F12" s="74" t="str">
        <f>"ITPN-207428"</f>
        <v>ITPN-207428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6" si="1">B18</f>
        <v>Hide</v>
      </c>
      <c r="C13" s="74" t="str">
        <f>"""Ceres NTFB Live"",""NTFB Live"",""5766"",""1"",""Invt. Pick"",""2"",""ITPN-207429"""</f>
        <v>"Ceres NTFB Live","NTFB Live","5766","1","Invt. Pick","2","ITPN-207429"</v>
      </c>
      <c r="E13" s="74" t="str">
        <f>"A107851"</f>
        <v>A107851</v>
      </c>
      <c r="F13" s="74" t="str">
        <f>"ITPN-207429"</f>
        <v>ITPN-207429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Pick"",""2"",""ITPN-207443"""</f>
        <v>"Ceres NTFB Live","NTFB Live","5766","1","Invt. Pick","2","ITPN-207443"</v>
      </c>
      <c r="E14" s="74" t="str">
        <f>"A108061"</f>
        <v>A108061</v>
      </c>
      <c r="F14" s="74" t="str">
        <f>"ITPN-207443"</f>
        <v>ITPN-207443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Pick"",""2"",""ITPN-207500"""</f>
        <v>"Ceres NTFB Live","NTFB Live","5766","1","Invt. Pick","2","ITPN-207500"</v>
      </c>
      <c r="E15" s="74" t="str">
        <f>"A108407"</f>
        <v>A108407</v>
      </c>
      <c r="F15" s="74" t="str">
        <f>"ITPN-207500"</f>
        <v>ITPN-207500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Pick"",""2"",""ITPN-207501"""</f>
        <v>"Ceres NTFB Live","NTFB Live","5766","1","Invt. Pick","2","ITPN-207501"</v>
      </c>
      <c r="E16" s="74" t="str">
        <f>"A108407"</f>
        <v>A108407</v>
      </c>
      <c r="F16" s="74" t="str">
        <f>"ITPN-207501"</f>
        <v>ITPN-207501</v>
      </c>
      <c r="I16" s="98"/>
      <c r="J16" s="98"/>
      <c r="K16" s="98"/>
      <c r="L16" s="98"/>
      <c r="M16" s="98"/>
    </row>
    <row r="17" spans="1:17" hidden="1" x14ac:dyDescent="0.25">
      <c r="A17" s="74" t="s">
        <v>6</v>
      </c>
      <c r="B17" s="76" t="str">
        <f t="shared" ref="B17:B27" si="2">B18</f>
        <v>Hide</v>
      </c>
      <c r="C17" s="74" t="s">
        <v>1250</v>
      </c>
      <c r="E17" s="74" t="str">
        <f>E12</f>
        <v>A107851</v>
      </c>
      <c r="F17" s="74" t="str">
        <f>F12</f>
        <v>ITPN-207428</v>
      </c>
      <c r="I17" s="98"/>
      <c r="J17" s="98"/>
      <c r="K17" s="98"/>
      <c r="L17" s="98"/>
      <c r="M17" s="98"/>
    </row>
    <row r="18" spans="1:17" hidden="1" x14ac:dyDescent="0.25">
      <c r="A18" s="74" t="s">
        <v>6</v>
      </c>
      <c r="B18" s="76" t="str">
        <f t="shared" si="2"/>
        <v>Hide</v>
      </c>
      <c r="E18" s="92" t="s">
        <v>1248</v>
      </c>
      <c r="F18" s="92" t="s">
        <v>1247</v>
      </c>
      <c r="I18" s="98"/>
      <c r="J18" s="98"/>
      <c r="K18" s="98"/>
      <c r="L18" s="98"/>
      <c r="M18" s="98"/>
    </row>
    <row r="19" spans="1:17" hidden="1" x14ac:dyDescent="0.25">
      <c r="B19" s="76" t="str">
        <f t="shared" si="2"/>
        <v>Hide</v>
      </c>
      <c r="E19" s="101" t="s">
        <v>20</v>
      </c>
      <c r="F19" s="184" t="s">
        <v>179</v>
      </c>
      <c r="G19" s="185"/>
      <c r="H19" s="185"/>
      <c r="I19" s="185"/>
      <c r="J19" s="185"/>
      <c r="K19" s="185"/>
      <c r="L19" s="185"/>
      <c r="M19" s="186"/>
    </row>
    <row r="20" spans="1:17" hidden="1" x14ac:dyDescent="0.25">
      <c r="B20" s="76" t="str">
        <f t="shared" si="2"/>
        <v>Hide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hidden="1" thickBot="1" x14ac:dyDescent="0.3">
      <c r="B21" s="76" t="str">
        <f t="shared" si="2"/>
        <v>Hide</v>
      </c>
      <c r="F21" s="190"/>
      <c r="G21" s="191"/>
      <c r="H21" s="191"/>
      <c r="I21" s="191"/>
      <c r="J21" s="191"/>
      <c r="K21" s="191"/>
      <c r="L21" s="191"/>
      <c r="M21" s="192"/>
    </row>
    <row r="22" spans="1:17" hidden="1" x14ac:dyDescent="0.25">
      <c r="B22" s="76" t="str">
        <f t="shared" si="2"/>
        <v>Hide</v>
      </c>
    </row>
    <row r="23" spans="1:17" hidden="1" x14ac:dyDescent="0.25">
      <c r="B23" s="76" t="str">
        <f t="shared" si="2"/>
        <v>Hide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hidden="1" x14ac:dyDescent="0.25">
      <c r="B24" s="76" t="str">
        <f t="shared" si="2"/>
        <v>Hide</v>
      </c>
      <c r="E24" s="101"/>
    </row>
    <row r="25" spans="1:17" hidden="1" x14ac:dyDescent="0.25">
      <c r="B25" s="76" t="str">
        <f t="shared" si="2"/>
        <v>Hide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hidden="1" x14ac:dyDescent="0.25">
      <c r="B26" s="76" t="str">
        <f t="shared" si="2"/>
        <v>Hide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hidden="1" customHeight="1" x14ac:dyDescent="0.25">
      <c r="A27" s="97"/>
      <c r="B27" s="76" t="str">
        <f t="shared" si="2"/>
        <v>Hide</v>
      </c>
      <c r="C27" s="96" t="s">
        <v>44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hidden="1" customHeight="1" x14ac:dyDescent="0.25">
      <c r="B28" s="92" t="str">
        <f>IF(I28="","Hide","Show")</f>
        <v>Hide</v>
      </c>
      <c r="C28" s="74" t="s">
        <v>179</v>
      </c>
      <c r="D28" s="89" t="s">
        <v>179</v>
      </c>
      <c r="E28" s="89" t="s">
        <v>179</v>
      </c>
      <c r="F28" s="89" t="s">
        <v>179</v>
      </c>
      <c r="G28" s="91" t="s">
        <v>180</v>
      </c>
      <c r="H28" s="90" t="s">
        <v>179</v>
      </c>
      <c r="I28" s="89" t="s">
        <v>179</v>
      </c>
      <c r="J28" s="89" t="s">
        <v>179</v>
      </c>
      <c r="K28" s="88"/>
      <c r="L28" s="87"/>
      <c r="M28" s="87"/>
      <c r="N28" s="85" t="s">
        <v>179</v>
      </c>
      <c r="O28" s="85" t="s">
        <v>179</v>
      </c>
      <c r="P28" s="85" t="s">
        <v>179</v>
      </c>
      <c r="Q28" s="86" t="s">
        <v>56</v>
      </c>
    </row>
    <row r="29" spans="1:17" hidden="1" x14ac:dyDescent="0.25">
      <c r="B29" s="74" t="str">
        <f>B28</f>
        <v>Hide</v>
      </c>
      <c r="H29" s="85"/>
      <c r="I29" s="85"/>
    </row>
    <row r="30" spans="1:17" ht="15.75" hidden="1" thickBot="1" x14ac:dyDescent="0.3">
      <c r="B30" s="74" t="str">
        <f>+B29</f>
        <v>Hide</v>
      </c>
      <c r="D30" s="193" t="str">
        <f>+"END OF "&amp;D2</f>
        <v>END OF METROCREST SERVICES  (002127P) - NO REF|EGGS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DELIVER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002127P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METROCREST SERVICES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1250</v>
      </c>
      <c r="G36" s="174"/>
      <c r="H36" s="174"/>
      <c r="I36" s="174"/>
      <c r="J36" s="174"/>
      <c r="K36" s="174"/>
      <c r="L36" s="174"/>
      <c r="M36" s="175"/>
    </row>
    <row r="37" spans="1:16" ht="30" hidden="1" customHeight="1" x14ac:dyDescent="0.25">
      <c r="A37" s="76" t="s">
        <v>184</v>
      </c>
      <c r="D37" s="80"/>
      <c r="E37" s="78"/>
      <c r="F37" s="174" t="str">
        <f>"A108061"</f>
        <v>A108061</v>
      </c>
      <c r="G37" s="174"/>
      <c r="H37" s="174"/>
      <c r="I37" s="174"/>
      <c r="J37" s="174"/>
      <c r="K37" s="174"/>
      <c r="L37" s="174"/>
      <c r="M37" s="175"/>
    </row>
    <row r="38" spans="1:16" ht="30" hidden="1" customHeight="1" x14ac:dyDescent="0.25">
      <c r="A38" s="76" t="s">
        <v>184</v>
      </c>
      <c r="D38" s="80"/>
      <c r="E38" s="78"/>
      <c r="F38" s="174" t="str">
        <f>"A108407"</f>
        <v>A108407</v>
      </c>
      <c r="G38" s="174"/>
      <c r="H38" s="174"/>
      <c r="I38" s="174"/>
      <c r="J38" s="174"/>
      <c r="K38" s="174"/>
      <c r="L38" s="174"/>
      <c r="M38" s="175"/>
    </row>
    <row r="39" spans="1:16" ht="15.75" hidden="1" customHeight="1" thickBot="1" x14ac:dyDescent="0.3">
      <c r="A39" s="76" t="s">
        <v>19</v>
      </c>
      <c r="D39" s="80"/>
      <c r="E39" s="78"/>
      <c r="F39" s="78"/>
      <c r="G39" s="79"/>
      <c r="H39" s="78"/>
      <c r="I39" s="78"/>
      <c r="J39" s="78"/>
      <c r="K39" s="78"/>
      <c r="L39" s="78"/>
      <c r="M39" s="77"/>
    </row>
    <row r="40" spans="1:16" ht="36.75" x14ac:dyDescent="0.45">
      <c r="A40" s="76" t="s">
        <v>30</v>
      </c>
      <c r="D40" s="176" t="s">
        <v>50</v>
      </c>
      <c r="E40" s="177"/>
      <c r="F40" s="178">
        <f>+F7</f>
        <v>42612</v>
      </c>
      <c r="G40" s="179"/>
      <c r="H40" s="179"/>
      <c r="I40" s="179"/>
      <c r="J40" s="179"/>
      <c r="K40" s="179"/>
      <c r="L40" s="179"/>
      <c r="M40" s="180"/>
    </row>
    <row r="41" spans="1:16" ht="37.5" thickBot="1" x14ac:dyDescent="0.5">
      <c r="A41" s="76" t="s">
        <v>30</v>
      </c>
      <c r="D41" s="158" t="s">
        <v>32</v>
      </c>
      <c r="E41" s="159"/>
      <c r="F41" s="160"/>
      <c r="G41" s="161"/>
      <c r="H41" s="161"/>
      <c r="I41" s="161"/>
      <c r="J41" s="161"/>
      <c r="K41" s="161"/>
      <c r="L41" s="161"/>
      <c r="M41" s="162"/>
    </row>
    <row r="42" spans="1:16" ht="80.099999999999994" customHeight="1" thickBot="1" x14ac:dyDescent="0.3">
      <c r="A42" s="76" t="s">
        <v>30</v>
      </c>
      <c r="D42" s="163" t="s">
        <v>51</v>
      </c>
      <c r="E42" s="164"/>
      <c r="F42" s="164"/>
      <c r="G42" s="164"/>
      <c r="H42" s="164"/>
      <c r="I42" s="164"/>
      <c r="J42" s="164"/>
      <c r="K42" s="164"/>
      <c r="L42" s="164"/>
      <c r="M42" s="165"/>
    </row>
    <row r="43" spans="1:16" ht="90" customHeight="1" thickBot="1" x14ac:dyDescent="0.3">
      <c r="A43" s="76" t="s">
        <v>30</v>
      </c>
      <c r="D43" s="166" t="str">
        <f>IF(F6="DELIVER",G6,F6)</f>
        <v>COLLIN 3</v>
      </c>
      <c r="E43" s="167"/>
      <c r="F43" s="167"/>
      <c r="G43" s="167"/>
      <c r="H43" s="167"/>
      <c r="I43" s="167"/>
      <c r="J43" s="167"/>
      <c r="K43" s="167"/>
      <c r="L43" s="167"/>
      <c r="M43" s="168"/>
    </row>
    <row r="44" spans="1:16" ht="60" customHeight="1" thickBot="1" x14ac:dyDescent="0.3">
      <c r="A44" s="76" t="s">
        <v>30</v>
      </c>
      <c r="D44" s="169" t="s">
        <v>55</v>
      </c>
      <c r="E44" s="170"/>
      <c r="F44" s="170"/>
      <c r="G44" s="170"/>
      <c r="H44" s="170"/>
      <c r="I44" s="170"/>
      <c r="J44" s="170"/>
      <c r="K44" s="170"/>
      <c r="L44" s="170"/>
      <c r="M44" s="171"/>
    </row>
  </sheetData>
  <mergeCells count="19">
    <mergeCell ref="D40:E40"/>
    <mergeCell ref="F40:M40"/>
    <mergeCell ref="D2:M2"/>
    <mergeCell ref="F19:M21"/>
    <mergeCell ref="D30:M30"/>
    <mergeCell ref="D32:M32"/>
    <mergeCell ref="D33:E33"/>
    <mergeCell ref="F33:M33"/>
    <mergeCell ref="F37:M37"/>
    <mergeCell ref="F38:M38"/>
    <mergeCell ref="D34:E34"/>
    <mergeCell ref="F34:M34"/>
    <mergeCell ref="D35:E35"/>
    <mergeCell ref="F36:M36"/>
    <mergeCell ref="D41:E41"/>
    <mergeCell ref="F41:M41"/>
    <mergeCell ref="D42:M42"/>
    <mergeCell ref="D43:M43"/>
    <mergeCell ref="D44:M44"/>
  </mergeCells>
  <conditionalFormatting sqref="F6">
    <cfRule type="cellIs" dxfId="339" priority="5" operator="equal">
      <formula>"DELIVER"</formula>
    </cfRule>
  </conditionalFormatting>
  <conditionalFormatting sqref="D32">
    <cfRule type="cellIs" dxfId="338" priority="4" operator="equal">
      <formula>"DELIVER"</formula>
    </cfRule>
  </conditionalFormatting>
  <conditionalFormatting sqref="D2:M2">
    <cfRule type="expression" dxfId="337" priority="3">
      <formula>$F$6="DELIVER"</formula>
    </cfRule>
  </conditionalFormatting>
  <conditionalFormatting sqref="G6">
    <cfRule type="expression" dxfId="336" priority="2">
      <formula>$F$6="DELIVER"</formula>
    </cfRule>
  </conditionalFormatting>
  <conditionalFormatting sqref="D43">
    <cfRule type="expression" dxfId="33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1639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NORTH DALLAS SHARED MINISTRIES  (002218P)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"002218P"</f>
        <v>002218P</v>
      </c>
      <c r="E4" s="101" t="s">
        <v>37</v>
      </c>
      <c r="F4" s="105" t="str">
        <f>C4</f>
        <v>002218P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1263</v>
      </c>
      <c r="E5" s="101" t="s">
        <v>36</v>
      </c>
      <c r="F5" s="112" t="s">
        <v>1183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1264</v>
      </c>
      <c r="E6" s="101" t="s">
        <v>38</v>
      </c>
      <c r="F6" s="105" t="s">
        <v>60</v>
      </c>
      <c r="G6" s="110" t="s">
        <v>1200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A107923|A108183|A107923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ITPN-207432|ITPN-207448|ITPN-207432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1265</v>
      </c>
      <c r="E12" s="74" t="s">
        <v>1257</v>
      </c>
      <c r="F12" s="74" t="s">
        <v>1258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Pick"",""2"",""ITPN-207448"""</f>
        <v>"Ceres NTFB Live","NTFB Live","5766","1","Invt. Pick","2","ITPN-207448"</v>
      </c>
      <c r="E13" s="74" t="s">
        <v>1259</v>
      </c>
      <c r="F13" s="74" t="s">
        <v>1260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1257</v>
      </c>
      <c r="E14" s="74" t="str">
        <f>E12</f>
        <v>A107923</v>
      </c>
      <c r="F14" s="74" t="str">
        <f>F12</f>
        <v>ITPN-207432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1261</v>
      </c>
      <c r="F15" s="92" t="s">
        <v>1262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96" t="s">
        <v>44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NORTH DALLAS SHARED MINISTRIES  (002218P) - NO REF|EGGS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002218P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NORTH DALLAS SHARED MINISTRIES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1257</v>
      </c>
      <c r="G33" s="174"/>
      <c r="H33" s="174"/>
      <c r="I33" s="174"/>
      <c r="J33" s="174"/>
      <c r="K33" s="174"/>
      <c r="L33" s="174"/>
      <c r="M33" s="175"/>
    </row>
    <row r="34" spans="1:13" ht="30" hidden="1" customHeight="1" x14ac:dyDescent="0.25">
      <c r="A34" s="76" t="s">
        <v>184</v>
      </c>
      <c r="D34" s="80"/>
      <c r="E34" s="78"/>
      <c r="F34" s="174" t="str">
        <f>"A108183"</f>
        <v>A108183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>DALLAS 4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8">
    <mergeCell ref="D36:E36"/>
    <mergeCell ref="F36:M36"/>
    <mergeCell ref="D2:M2"/>
    <mergeCell ref="F16:M18"/>
    <mergeCell ref="D27:M27"/>
    <mergeCell ref="D29:M29"/>
    <mergeCell ref="D30:E30"/>
    <mergeCell ref="F30:M30"/>
    <mergeCell ref="F34:M34"/>
    <mergeCell ref="D31:E31"/>
    <mergeCell ref="F31:M31"/>
    <mergeCell ref="D32:E32"/>
    <mergeCell ref="F33:M33"/>
    <mergeCell ref="D37:E37"/>
    <mergeCell ref="F37:M37"/>
    <mergeCell ref="D38:M38"/>
    <mergeCell ref="D39:M39"/>
    <mergeCell ref="D40:M40"/>
  </mergeCells>
  <conditionalFormatting sqref="F6">
    <cfRule type="cellIs" dxfId="334" priority="5" operator="equal">
      <formula>"DELIVER"</formula>
    </cfRule>
  </conditionalFormatting>
  <conditionalFormatting sqref="D29">
    <cfRule type="cellIs" dxfId="333" priority="4" operator="equal">
      <formula>"DELIVER"</formula>
    </cfRule>
  </conditionalFormatting>
  <conditionalFormatting sqref="D2:M2">
    <cfRule type="expression" dxfId="332" priority="3">
      <formula>$F$6="DELIVER"</formula>
    </cfRule>
  </conditionalFormatting>
  <conditionalFormatting sqref="G6">
    <cfRule type="expression" dxfId="331" priority="2">
      <formula>$F$6="DELIVER"</formula>
    </cfRule>
  </conditionalFormatting>
  <conditionalFormatting sqref="D39">
    <cfRule type="expression" dxfId="33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1641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IF(F30="","HIDESHEET","")</f>
        <v>HIDESHEET</v>
      </c>
      <c r="C2" s="74" t="s">
        <v>7</v>
      </c>
      <c r="D2" s="181" t="str">
        <f>IF(E30="",F5&amp;"  ("&amp;F4&amp;") - NO "&amp;C29,F5&amp;"  ("&amp;F4&amp;") - "&amp;C29&amp;" PICK LIST")</f>
        <v>WHITE ROCK CENTER HOPE/SEDEA  (002341P)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"002341P"</f>
        <v>002341P</v>
      </c>
      <c r="E4" s="101" t="s">
        <v>37</v>
      </c>
      <c r="F4" s="105" t="str">
        <f>C4</f>
        <v>002341P</v>
      </c>
      <c r="K4" s="101" t="s">
        <v>42</v>
      </c>
      <c r="L4" s="104"/>
      <c r="M4" s="111">
        <f>SUM(I30:I31)</f>
        <v>0</v>
      </c>
    </row>
    <row r="5" spans="1:26" ht="18" hidden="1" customHeight="1" x14ac:dyDescent="0.25">
      <c r="B5" s="76" t="str">
        <f t="shared" si="0"/>
        <v>Hide</v>
      </c>
      <c r="C5" s="109" t="s">
        <v>1268</v>
      </c>
      <c r="E5" s="101" t="s">
        <v>36</v>
      </c>
      <c r="F5" s="112" t="s">
        <v>1196</v>
      </c>
      <c r="K5" s="101" t="s">
        <v>43</v>
      </c>
      <c r="L5" s="104"/>
      <c r="M5" s="111">
        <f>ROUND(SUM(O30:O31),0)</f>
        <v>0</v>
      </c>
    </row>
    <row r="6" spans="1:26" ht="18" hidden="1" customHeight="1" x14ac:dyDescent="0.25">
      <c r="B6" s="76" t="str">
        <f t="shared" si="0"/>
        <v>Hide</v>
      </c>
      <c r="C6" s="109" t="s">
        <v>1269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ROUND(COUNT(O30:O31),0)</f>
        <v>0</v>
      </c>
      <c r="P6" s="101"/>
      <c r="W6" s="101" t="str">
        <f>"ESTIMATED "&amp;O29&amp;"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E20</f>
        <v>A107826|A107826|A108003|A108192|A108400|A108471|A108471|A107826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F20</f>
        <v>ITPN-207426|ITPN-207427|ITPN-207436|ITPN-207450|ITPN-207495|ITPN-207505|ITPN-207506|ITPN-207426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B19</f>
        <v>Hide</v>
      </c>
      <c r="C12" s="74" t="s">
        <v>1268</v>
      </c>
      <c r="E12" s="74" t="str">
        <f>"A107826"</f>
        <v>A107826</v>
      </c>
      <c r="F12" s="74" t="str">
        <f>"ITPN-207426"</f>
        <v>ITPN-207426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8" si="1">B20</f>
        <v>Hide</v>
      </c>
      <c r="C13" s="74" t="str">
        <f>"""Ceres NTFB Live"",""NTFB Live"",""5766"",""1"",""Invt. Pick"",""2"",""ITPN-207427"""</f>
        <v>"Ceres NTFB Live","NTFB Live","5766","1","Invt. Pick","2","ITPN-207427"</v>
      </c>
      <c r="E13" s="74" t="str">
        <f>"A107826"</f>
        <v>A107826</v>
      </c>
      <c r="F13" s="74" t="str">
        <f>"ITPN-207427"</f>
        <v>ITPN-207427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Pick"",""2"",""ITPN-207436"""</f>
        <v>"Ceres NTFB Live","NTFB Live","5766","1","Invt. Pick","2","ITPN-207436"</v>
      </c>
      <c r="E14" s="74" t="str">
        <f>"A108003"</f>
        <v>A108003</v>
      </c>
      <c r="F14" s="74" t="str">
        <f>"ITPN-207436"</f>
        <v>ITPN-207436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Pick"",""2"",""ITPN-207450"""</f>
        <v>"Ceres NTFB Live","NTFB Live","5766","1","Invt. Pick","2","ITPN-207450"</v>
      </c>
      <c r="E15" s="74" t="str">
        <f>"A108192"</f>
        <v>A108192</v>
      </c>
      <c r="F15" s="74" t="str">
        <f>"ITPN-207450"</f>
        <v>ITPN-207450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Pick"",""2"",""ITPN-207495"""</f>
        <v>"Ceres NTFB Live","NTFB Live","5766","1","Invt. Pick","2","ITPN-207495"</v>
      </c>
      <c r="E16" s="74" t="str">
        <f>"A108400"</f>
        <v>A108400</v>
      </c>
      <c r="F16" s="74" t="str">
        <f>"ITPN-207495"</f>
        <v>ITPN-207495</v>
      </c>
      <c r="I16" s="98"/>
      <c r="J16" s="98"/>
      <c r="K16" s="98"/>
      <c r="L16" s="98"/>
      <c r="M16" s="98"/>
    </row>
    <row r="17" spans="1:17" hidden="1" x14ac:dyDescent="0.25">
      <c r="A17" s="74" t="s">
        <v>173</v>
      </c>
      <c r="B17" s="76" t="str">
        <f t="shared" si="1"/>
        <v>Hide</v>
      </c>
      <c r="C17" s="74" t="str">
        <f>"""Ceres NTFB Live"",""NTFB Live"",""5766"",""1"",""Invt. Pick"",""2"",""ITPN-207505"""</f>
        <v>"Ceres NTFB Live","NTFB Live","5766","1","Invt. Pick","2","ITPN-207505"</v>
      </c>
      <c r="E17" s="74" t="str">
        <f>"A108471"</f>
        <v>A108471</v>
      </c>
      <c r="F17" s="74" t="str">
        <f>"ITPN-207505"</f>
        <v>ITPN-207505</v>
      </c>
      <c r="I17" s="98"/>
      <c r="J17" s="98"/>
      <c r="K17" s="98"/>
      <c r="L17" s="98"/>
      <c r="M17" s="98"/>
    </row>
    <row r="18" spans="1:17" hidden="1" x14ac:dyDescent="0.25">
      <c r="A18" s="74" t="s">
        <v>173</v>
      </c>
      <c r="B18" s="76" t="str">
        <f t="shared" si="1"/>
        <v>Hide</v>
      </c>
      <c r="C18" s="74" t="str">
        <f>"""Ceres NTFB Live"",""NTFB Live"",""5766"",""1"",""Invt. Pick"",""2"",""ITPN-207506"""</f>
        <v>"Ceres NTFB Live","NTFB Live","5766","1","Invt. Pick","2","ITPN-207506"</v>
      </c>
      <c r="E18" s="74" t="str">
        <f>"A108471"</f>
        <v>A108471</v>
      </c>
      <c r="F18" s="74" t="str">
        <f>"ITPN-207506"</f>
        <v>ITPN-207506</v>
      </c>
      <c r="I18" s="98"/>
      <c r="J18" s="98"/>
      <c r="K18" s="98"/>
      <c r="L18" s="98"/>
      <c r="M18" s="98"/>
    </row>
    <row r="19" spans="1:17" hidden="1" x14ac:dyDescent="0.25">
      <c r="A19" s="74" t="s">
        <v>6</v>
      </c>
      <c r="B19" s="76" t="str">
        <f t="shared" ref="B19:B29" si="2">B20</f>
        <v>Hide</v>
      </c>
      <c r="C19" s="74" t="s">
        <v>1270</v>
      </c>
      <c r="E19" s="74" t="str">
        <f>E12</f>
        <v>A107826</v>
      </c>
      <c r="F19" s="74" t="str">
        <f>F12</f>
        <v>ITPN-207426</v>
      </c>
      <c r="I19" s="98"/>
      <c r="J19" s="98"/>
      <c r="K19" s="98"/>
      <c r="L19" s="98"/>
      <c r="M19" s="98"/>
    </row>
    <row r="20" spans="1:17" hidden="1" x14ac:dyDescent="0.25">
      <c r="A20" s="74" t="s">
        <v>6</v>
      </c>
      <c r="B20" s="76" t="str">
        <f t="shared" si="2"/>
        <v>Hide</v>
      </c>
      <c r="E20" s="92" t="s">
        <v>1800</v>
      </c>
      <c r="F20" s="92" t="s">
        <v>1799</v>
      </c>
      <c r="I20" s="98"/>
      <c r="J20" s="98"/>
      <c r="K20" s="98"/>
      <c r="L20" s="98"/>
      <c r="M20" s="98"/>
    </row>
    <row r="21" spans="1:17" hidden="1" x14ac:dyDescent="0.25">
      <c r="B21" s="76" t="str">
        <f t="shared" si="2"/>
        <v>Hide</v>
      </c>
      <c r="E21" s="101" t="s">
        <v>20</v>
      </c>
      <c r="F21" s="184" t="s">
        <v>179</v>
      </c>
      <c r="G21" s="185"/>
      <c r="H21" s="185"/>
      <c r="I21" s="185"/>
      <c r="J21" s="185"/>
      <c r="K21" s="185"/>
      <c r="L21" s="185"/>
      <c r="M21" s="186"/>
    </row>
    <row r="22" spans="1:17" hidden="1" x14ac:dyDescent="0.25">
      <c r="B22" s="76" t="str">
        <f t="shared" si="2"/>
        <v>Hide</v>
      </c>
      <c r="F22" s="187"/>
      <c r="G22" s="188"/>
      <c r="H22" s="188"/>
      <c r="I22" s="188"/>
      <c r="J22" s="188"/>
      <c r="K22" s="188"/>
      <c r="L22" s="188"/>
      <c r="M22" s="189"/>
    </row>
    <row r="23" spans="1:17" ht="15.75" hidden="1" thickBot="1" x14ac:dyDescent="0.3">
      <c r="B23" s="76" t="str">
        <f t="shared" si="2"/>
        <v>Hide</v>
      </c>
      <c r="F23" s="190"/>
      <c r="G23" s="191"/>
      <c r="H23" s="191"/>
      <c r="I23" s="191"/>
      <c r="J23" s="191"/>
      <c r="K23" s="191"/>
      <c r="L23" s="191"/>
      <c r="M23" s="192"/>
    </row>
    <row r="24" spans="1:17" hidden="1" x14ac:dyDescent="0.25">
      <c r="B24" s="76" t="str">
        <f t="shared" si="2"/>
        <v>Hide</v>
      </c>
    </row>
    <row r="25" spans="1:17" hidden="1" x14ac:dyDescent="0.25">
      <c r="B25" s="76" t="str">
        <f t="shared" si="2"/>
        <v>Hide</v>
      </c>
      <c r="E25" s="101" t="s">
        <v>33</v>
      </c>
      <c r="F25" s="100"/>
      <c r="G25" s="102"/>
      <c r="H25" s="101" t="s">
        <v>53</v>
      </c>
      <c r="I25" s="100"/>
      <c r="J25" s="100"/>
      <c r="K25" s="100"/>
    </row>
    <row r="26" spans="1:17" hidden="1" x14ac:dyDescent="0.25">
      <c r="B26" s="76" t="str">
        <f t="shared" si="2"/>
        <v>Hide</v>
      </c>
      <c r="E26" s="101"/>
    </row>
    <row r="27" spans="1:17" hidden="1" x14ac:dyDescent="0.25">
      <c r="B27" s="76" t="str">
        <f t="shared" si="2"/>
        <v>Hide</v>
      </c>
      <c r="E27" s="101" t="s">
        <v>32</v>
      </c>
      <c r="F27" s="100"/>
      <c r="G27" s="102"/>
      <c r="H27" s="101" t="s">
        <v>54</v>
      </c>
      <c r="I27" s="100"/>
      <c r="J27" s="100"/>
      <c r="K27" s="100"/>
    </row>
    <row r="28" spans="1:17" hidden="1" x14ac:dyDescent="0.25">
      <c r="B28" s="76" t="str">
        <f t="shared" si="2"/>
        <v>Hide</v>
      </c>
      <c r="C28" s="74" t="s">
        <v>52</v>
      </c>
      <c r="D28" s="74" t="s">
        <v>52</v>
      </c>
      <c r="F28" s="99"/>
      <c r="I28" s="98"/>
      <c r="J28" s="98"/>
      <c r="K28" s="98"/>
      <c r="L28" s="98"/>
      <c r="M28" s="98"/>
    </row>
    <row r="29" spans="1:17" s="75" customFormat="1" ht="15.95" hidden="1" customHeight="1" x14ac:dyDescent="0.25">
      <c r="A29" s="97"/>
      <c r="B29" s="76" t="str">
        <f t="shared" si="2"/>
        <v>Hide</v>
      </c>
      <c r="C29" s="96" t="s">
        <v>44</v>
      </c>
      <c r="D29" s="94" t="s">
        <v>28</v>
      </c>
      <c r="E29" s="94" t="s">
        <v>26</v>
      </c>
      <c r="F29" s="94" t="s">
        <v>29</v>
      </c>
      <c r="G29" s="94" t="s">
        <v>57</v>
      </c>
      <c r="H29" s="94" t="s">
        <v>27</v>
      </c>
      <c r="I29" s="94" t="s">
        <v>25</v>
      </c>
      <c r="J29" s="94" t="s">
        <v>10</v>
      </c>
      <c r="K29" s="94" t="s">
        <v>24</v>
      </c>
      <c r="L29" s="95"/>
      <c r="M29" s="94" t="s">
        <v>31</v>
      </c>
      <c r="N29" s="93" t="s">
        <v>21</v>
      </c>
      <c r="O29" s="93" t="s">
        <v>22</v>
      </c>
      <c r="P29" s="93" t="s">
        <v>23</v>
      </c>
      <c r="Q29" s="93"/>
    </row>
    <row r="30" spans="1:17" ht="24.95" hidden="1" customHeight="1" x14ac:dyDescent="0.25">
      <c r="B30" s="92" t="str">
        <f>IF(I30="","Hide","Show")</f>
        <v>Hide</v>
      </c>
      <c r="C30" s="74" t="s">
        <v>179</v>
      </c>
      <c r="D30" s="89" t="s">
        <v>179</v>
      </c>
      <c r="E30" s="89" t="s">
        <v>179</v>
      </c>
      <c r="F30" s="89" t="s">
        <v>179</v>
      </c>
      <c r="G30" s="91" t="s">
        <v>180</v>
      </c>
      <c r="H30" s="90" t="s">
        <v>179</v>
      </c>
      <c r="I30" s="89" t="s">
        <v>179</v>
      </c>
      <c r="J30" s="89" t="s">
        <v>179</v>
      </c>
      <c r="K30" s="88"/>
      <c r="L30" s="87"/>
      <c r="M30" s="87"/>
      <c r="N30" s="85" t="s">
        <v>179</v>
      </c>
      <c r="O30" s="85" t="s">
        <v>179</v>
      </c>
      <c r="P30" s="85" t="s">
        <v>179</v>
      </c>
      <c r="Q30" s="86" t="s">
        <v>56</v>
      </c>
    </row>
    <row r="31" spans="1:17" hidden="1" x14ac:dyDescent="0.25">
      <c r="B31" s="74" t="str">
        <f>B30</f>
        <v>Hide</v>
      </c>
      <c r="H31" s="85"/>
      <c r="I31" s="85"/>
    </row>
    <row r="32" spans="1:17" ht="15.75" hidden="1" thickBot="1" x14ac:dyDescent="0.3">
      <c r="B32" s="74" t="str">
        <f>+B31</f>
        <v>Hide</v>
      </c>
      <c r="D32" s="193" t="str">
        <f>+"END OF "&amp;D2</f>
        <v>END OF WHITE ROCK CENTER HOPE/SEDEA  (002341P) - NO REF|EGGS</v>
      </c>
      <c r="E32" s="194"/>
      <c r="F32" s="194"/>
      <c r="G32" s="194"/>
      <c r="H32" s="194"/>
      <c r="I32" s="194"/>
      <c r="J32" s="194"/>
      <c r="K32" s="194"/>
      <c r="L32" s="194"/>
      <c r="M32" s="195"/>
    </row>
    <row r="33" spans="1:16" ht="15.75" thickBot="1" x14ac:dyDescent="0.3"/>
    <row r="34" spans="1:16" ht="80.099999999999994" customHeight="1" thickBot="1" x14ac:dyDescent="0.3">
      <c r="A34" s="76" t="s">
        <v>30</v>
      </c>
      <c r="D34" s="166" t="str">
        <f>+F6</f>
        <v>PICKUP</v>
      </c>
      <c r="E34" s="167"/>
      <c r="F34" s="167"/>
      <c r="G34" s="167"/>
      <c r="H34" s="167"/>
      <c r="I34" s="167"/>
      <c r="J34" s="167"/>
      <c r="K34" s="167"/>
      <c r="L34" s="167"/>
      <c r="M34" s="168"/>
    </row>
    <row r="35" spans="1:16" ht="36.75" x14ac:dyDescent="0.45">
      <c r="A35" s="76" t="s">
        <v>30</v>
      </c>
      <c r="D35" s="176" t="s">
        <v>12</v>
      </c>
      <c r="E35" s="177"/>
      <c r="F35" s="196" t="str">
        <f>+F4</f>
        <v>002341P</v>
      </c>
      <c r="G35" s="196"/>
      <c r="H35" s="196"/>
      <c r="I35" s="196"/>
      <c r="J35" s="196"/>
      <c r="K35" s="196"/>
      <c r="L35" s="196"/>
      <c r="M35" s="197"/>
    </row>
    <row r="36" spans="1:16" ht="37.5" customHeight="1" thickBot="1" x14ac:dyDescent="0.5">
      <c r="A36" s="76" t="s">
        <v>30</v>
      </c>
      <c r="D36" s="158" t="s">
        <v>5</v>
      </c>
      <c r="E36" s="159"/>
      <c r="F36" s="161" t="str">
        <f>+F5</f>
        <v>WHITE ROCK CENTER HOPE/SEDEA</v>
      </c>
      <c r="G36" s="161"/>
      <c r="H36" s="161"/>
      <c r="I36" s="161"/>
      <c r="J36" s="161"/>
      <c r="K36" s="161"/>
      <c r="L36" s="161"/>
      <c r="M36" s="162"/>
      <c r="N36" s="84"/>
      <c r="O36" s="84"/>
      <c r="P36" s="84"/>
    </row>
    <row r="37" spans="1:16" ht="33.75" hidden="1" thickBot="1" x14ac:dyDescent="0.45">
      <c r="A37" s="76" t="s">
        <v>19</v>
      </c>
      <c r="D37" s="172" t="s">
        <v>49</v>
      </c>
      <c r="E37" s="173"/>
      <c r="F37" s="82"/>
      <c r="G37" s="83"/>
      <c r="H37" s="82"/>
      <c r="I37" s="82"/>
      <c r="J37" s="82"/>
      <c r="K37" s="82"/>
      <c r="L37" s="82"/>
      <c r="M37" s="81"/>
    </row>
    <row r="38" spans="1:16" ht="30" hidden="1" customHeight="1" x14ac:dyDescent="0.25">
      <c r="A38" s="76" t="s">
        <v>19</v>
      </c>
      <c r="D38" s="80"/>
      <c r="E38" s="78"/>
      <c r="F38" s="174" t="s">
        <v>1270</v>
      </c>
      <c r="G38" s="174"/>
      <c r="H38" s="174"/>
      <c r="I38" s="174"/>
      <c r="J38" s="174"/>
      <c r="K38" s="174"/>
      <c r="L38" s="174"/>
      <c r="M38" s="175"/>
    </row>
    <row r="39" spans="1:16" ht="30" hidden="1" customHeight="1" x14ac:dyDescent="0.25">
      <c r="A39" s="76" t="s">
        <v>184</v>
      </c>
      <c r="D39" s="80"/>
      <c r="E39" s="78"/>
      <c r="F39" s="174" t="str">
        <f>"A108003"</f>
        <v>A108003</v>
      </c>
      <c r="G39" s="174"/>
      <c r="H39" s="174"/>
      <c r="I39" s="174"/>
      <c r="J39" s="174"/>
      <c r="K39" s="174"/>
      <c r="L39" s="174"/>
      <c r="M39" s="175"/>
    </row>
    <row r="40" spans="1:16" ht="30" hidden="1" customHeight="1" x14ac:dyDescent="0.25">
      <c r="A40" s="76" t="s">
        <v>184</v>
      </c>
      <c r="D40" s="80"/>
      <c r="E40" s="78"/>
      <c r="F40" s="174" t="str">
        <f>"A108192"</f>
        <v>A108192</v>
      </c>
      <c r="G40" s="174"/>
      <c r="H40" s="174"/>
      <c r="I40" s="174"/>
      <c r="J40" s="174"/>
      <c r="K40" s="174"/>
      <c r="L40" s="174"/>
      <c r="M40" s="175"/>
    </row>
    <row r="41" spans="1:16" ht="30" hidden="1" customHeight="1" x14ac:dyDescent="0.25">
      <c r="A41" s="76" t="s">
        <v>184</v>
      </c>
      <c r="D41" s="80"/>
      <c r="E41" s="78"/>
      <c r="F41" s="174" t="str">
        <f>"A108400"</f>
        <v>A108400</v>
      </c>
      <c r="G41" s="174"/>
      <c r="H41" s="174"/>
      <c r="I41" s="174"/>
      <c r="J41" s="174"/>
      <c r="K41" s="174"/>
      <c r="L41" s="174"/>
      <c r="M41" s="175"/>
    </row>
    <row r="42" spans="1:16" ht="30" hidden="1" customHeight="1" x14ac:dyDescent="0.25">
      <c r="A42" s="76" t="s">
        <v>184</v>
      </c>
      <c r="D42" s="80"/>
      <c r="E42" s="78"/>
      <c r="F42" s="174" t="str">
        <f>"A108471"</f>
        <v>A108471</v>
      </c>
      <c r="G42" s="174"/>
      <c r="H42" s="174"/>
      <c r="I42" s="174"/>
      <c r="J42" s="174"/>
      <c r="K42" s="174"/>
      <c r="L42" s="174"/>
      <c r="M42" s="175"/>
    </row>
    <row r="43" spans="1:16" ht="15.75" hidden="1" customHeight="1" thickBot="1" x14ac:dyDescent="0.3">
      <c r="A43" s="76" t="s">
        <v>19</v>
      </c>
      <c r="D43" s="80"/>
      <c r="E43" s="78"/>
      <c r="F43" s="78"/>
      <c r="G43" s="79"/>
      <c r="H43" s="78"/>
      <c r="I43" s="78"/>
      <c r="J43" s="78"/>
      <c r="K43" s="78"/>
      <c r="L43" s="78"/>
      <c r="M43" s="77"/>
    </row>
    <row r="44" spans="1:16" ht="36.75" x14ac:dyDescent="0.45">
      <c r="A44" s="76" t="s">
        <v>30</v>
      </c>
      <c r="D44" s="176" t="s">
        <v>50</v>
      </c>
      <c r="E44" s="177"/>
      <c r="F44" s="178">
        <f>+F7</f>
        <v>42612</v>
      </c>
      <c r="G44" s="179"/>
      <c r="H44" s="179"/>
      <c r="I44" s="179"/>
      <c r="J44" s="179"/>
      <c r="K44" s="179"/>
      <c r="L44" s="179"/>
      <c r="M44" s="180"/>
    </row>
    <row r="45" spans="1:16" ht="37.5" thickBot="1" x14ac:dyDescent="0.5">
      <c r="A45" s="76" t="s">
        <v>30</v>
      </c>
      <c r="D45" s="158" t="s">
        <v>32</v>
      </c>
      <c r="E45" s="159"/>
      <c r="F45" s="160"/>
      <c r="G45" s="161"/>
      <c r="H45" s="161"/>
      <c r="I45" s="161"/>
      <c r="J45" s="161"/>
      <c r="K45" s="161"/>
      <c r="L45" s="161"/>
      <c r="M45" s="162"/>
    </row>
    <row r="46" spans="1:16" ht="80.099999999999994" customHeight="1" thickBot="1" x14ac:dyDescent="0.3">
      <c r="A46" s="76" t="s">
        <v>30</v>
      </c>
      <c r="D46" s="163" t="s">
        <v>51</v>
      </c>
      <c r="E46" s="164"/>
      <c r="F46" s="164"/>
      <c r="G46" s="164"/>
      <c r="H46" s="164"/>
      <c r="I46" s="164"/>
      <c r="J46" s="164"/>
      <c r="K46" s="164"/>
      <c r="L46" s="164"/>
      <c r="M46" s="165"/>
    </row>
    <row r="47" spans="1:16" ht="90" customHeight="1" thickBot="1" x14ac:dyDescent="0.3">
      <c r="A47" s="76" t="s">
        <v>30</v>
      </c>
      <c r="D47" s="166" t="str">
        <f>IF(F6="DELIVER",G6,F6)</f>
        <v>PICKUP</v>
      </c>
      <c r="E47" s="167"/>
      <c r="F47" s="167"/>
      <c r="G47" s="167"/>
      <c r="H47" s="167"/>
      <c r="I47" s="167"/>
      <c r="J47" s="167"/>
      <c r="K47" s="167"/>
      <c r="L47" s="167"/>
      <c r="M47" s="168"/>
    </row>
    <row r="48" spans="1:16" ht="60" customHeight="1" thickBot="1" x14ac:dyDescent="0.3">
      <c r="A48" s="76" t="s">
        <v>30</v>
      </c>
      <c r="D48" s="169" t="s">
        <v>55</v>
      </c>
      <c r="E48" s="170"/>
      <c r="F48" s="170"/>
      <c r="G48" s="170"/>
      <c r="H48" s="170"/>
      <c r="I48" s="170"/>
      <c r="J48" s="170"/>
      <c r="K48" s="170"/>
      <c r="L48" s="170"/>
      <c r="M48" s="171"/>
    </row>
  </sheetData>
  <mergeCells count="21">
    <mergeCell ref="D44:E44"/>
    <mergeCell ref="F44:M44"/>
    <mergeCell ref="D2:M2"/>
    <mergeCell ref="F21:M23"/>
    <mergeCell ref="D32:M32"/>
    <mergeCell ref="D34:M34"/>
    <mergeCell ref="D35:E35"/>
    <mergeCell ref="F35:M35"/>
    <mergeCell ref="F39:M39"/>
    <mergeCell ref="F40:M40"/>
    <mergeCell ref="F41:M41"/>
    <mergeCell ref="F42:M42"/>
    <mergeCell ref="D36:E36"/>
    <mergeCell ref="F36:M36"/>
    <mergeCell ref="D37:E37"/>
    <mergeCell ref="F38:M38"/>
    <mergeCell ref="D45:E45"/>
    <mergeCell ref="F45:M45"/>
    <mergeCell ref="D46:M46"/>
    <mergeCell ref="D47:M47"/>
    <mergeCell ref="D48:M48"/>
  </mergeCells>
  <conditionalFormatting sqref="F6">
    <cfRule type="cellIs" dxfId="329" priority="5" operator="equal">
      <formula>"DELIVER"</formula>
    </cfRule>
  </conditionalFormatting>
  <conditionalFormatting sqref="D34">
    <cfRule type="cellIs" dxfId="328" priority="4" operator="equal">
      <formula>"DELIVER"</formula>
    </cfRule>
  </conditionalFormatting>
  <conditionalFormatting sqref="D2:M2">
    <cfRule type="expression" dxfId="327" priority="3">
      <formula>$F$6="DELIVER"</formula>
    </cfRule>
  </conditionalFormatting>
  <conditionalFormatting sqref="G6">
    <cfRule type="expression" dxfId="326" priority="2">
      <formula>$F$6="DELIVER"</formula>
    </cfRule>
  </conditionalFormatting>
  <conditionalFormatting sqref="D47">
    <cfRule type="expression" dxfId="32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2" max="16383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1646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NAVARRO COUNTY FOOD PANTRY  (002491P)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"002491P"</f>
        <v>002491P</v>
      </c>
      <c r="E4" s="101" t="s">
        <v>37</v>
      </c>
      <c r="F4" s="105" t="str">
        <f>C4</f>
        <v>002491P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1296</v>
      </c>
      <c r="E5" s="101" t="s">
        <v>36</v>
      </c>
      <c r="F5" s="112" t="s">
        <v>730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1297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A108478|A108478|A108478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ITPN-207507|ITPN-207508|ITPN-207507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1298</v>
      </c>
      <c r="E12" s="74" t="s">
        <v>1277</v>
      </c>
      <c r="F12" s="74" t="s">
        <v>1291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Pick"",""2"",""ITPN-207508"""</f>
        <v>"Ceres NTFB Live","NTFB Live","5766","1","Invt. Pick","2","ITPN-207508"</v>
      </c>
      <c r="E13" s="74" t="s">
        <v>1277</v>
      </c>
      <c r="F13" s="74" t="s">
        <v>1292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1277</v>
      </c>
      <c r="E14" s="74" t="str">
        <f>E12</f>
        <v>A108478</v>
      </c>
      <c r="F14" s="74" t="str">
        <f>F12</f>
        <v>ITPN-207507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1293</v>
      </c>
      <c r="F15" s="92" t="s">
        <v>1294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1295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96" t="s">
        <v>44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NAVARRO COUNTY FOOD PANTRY  (002491P) - NO REF|EGGS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002491P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NAVARRO COUNTY FOOD PANTRY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1277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324" priority="5" operator="equal">
      <formula>"DELIVER"</formula>
    </cfRule>
  </conditionalFormatting>
  <conditionalFormatting sqref="D29">
    <cfRule type="cellIs" dxfId="323" priority="4" operator="equal">
      <formula>"DELIVER"</formula>
    </cfRule>
  </conditionalFormatting>
  <conditionalFormatting sqref="D2:M2">
    <cfRule type="expression" dxfId="322" priority="3">
      <formula>$F$6="DELIVER"</formula>
    </cfRule>
  </conditionalFormatting>
  <conditionalFormatting sqref="G6">
    <cfRule type="expression" dxfId="321" priority="2">
      <formula>$F$6="DELIVER"</formula>
    </cfRule>
  </conditionalFormatting>
  <conditionalFormatting sqref="D38">
    <cfRule type="expression" dxfId="32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1648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HOLY COVENANT UMC  (002719P)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"002719P"</f>
        <v>002719P</v>
      </c>
      <c r="E4" s="101" t="s">
        <v>37</v>
      </c>
      <c r="F4" s="105" t="str">
        <f>C4</f>
        <v>002719P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1306</v>
      </c>
      <c r="E5" s="101" t="s">
        <v>36</v>
      </c>
      <c r="F5" s="112" t="s">
        <v>1178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1307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A108316|A108316|A108316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ITPN-207465|ITPN-207466|ITPN-207465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1306</v>
      </c>
      <c r="E12" s="74" t="s">
        <v>1300</v>
      </c>
      <c r="F12" s="74" t="s">
        <v>1301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Pick"",""2"",""ITPN-207466"""</f>
        <v>"Ceres NTFB Live","NTFB Live","5766","1","Invt. Pick","2","ITPN-207466"</v>
      </c>
      <c r="E13" s="74" t="s">
        <v>1300</v>
      </c>
      <c r="F13" s="74" t="s">
        <v>1302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1300</v>
      </c>
      <c r="E14" s="74" t="str">
        <f>E12</f>
        <v>A108316</v>
      </c>
      <c r="F14" s="74" t="str">
        <f>F12</f>
        <v>ITPN-207465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1303</v>
      </c>
      <c r="F15" s="92" t="s">
        <v>1304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1305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96" t="s">
        <v>44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HOLY COVENANT UMC  (002719P) - NO REF|EGGS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002719P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HOLY COVENANT UMC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1300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COLLIN 3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319" priority="5" operator="equal">
      <formula>"DELIVER"</formula>
    </cfRule>
  </conditionalFormatting>
  <conditionalFormatting sqref="D29">
    <cfRule type="cellIs" dxfId="318" priority="4" operator="equal">
      <formula>"DELIVER"</formula>
    </cfRule>
  </conditionalFormatting>
  <conditionalFormatting sqref="D2:M2">
    <cfRule type="expression" dxfId="317" priority="3">
      <formula>$F$6="DELIVER"</formula>
    </cfRule>
  </conditionalFormatting>
  <conditionalFormatting sqref="G6">
    <cfRule type="expression" dxfId="316" priority="2">
      <formula>$F$6="DELIVER"</formula>
    </cfRule>
  </conditionalFormatting>
  <conditionalFormatting sqref="D38">
    <cfRule type="expression" dxfId="31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1650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>HIDESHEET</v>
      </c>
      <c r="C2" s="74" t="s">
        <v>7</v>
      </c>
      <c r="D2" s="181" t="str">
        <f>IF(E28="",F5&amp;"  ("&amp;F4&amp;") - NO "&amp;C27,F5&amp;"  ("&amp;F4&amp;") - "&amp;C27&amp;" PICK LIST")</f>
        <v>GOLDEN GATE BAPTIST CHURCH  (003405P)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"003405P"</f>
        <v>003405P</v>
      </c>
      <c r="E4" s="101" t="s">
        <v>37</v>
      </c>
      <c r="F4" s="105" t="str">
        <f>C4</f>
        <v>003405P</v>
      </c>
      <c r="K4" s="101" t="s">
        <v>42</v>
      </c>
      <c r="L4" s="104"/>
      <c r="M4" s="111">
        <f>SUM(I28:I29)</f>
        <v>0</v>
      </c>
    </row>
    <row r="5" spans="1:26" ht="18" hidden="1" customHeight="1" x14ac:dyDescent="0.25">
      <c r="B5" s="76" t="str">
        <f t="shared" si="0"/>
        <v>Hide</v>
      </c>
      <c r="C5" s="109" t="s">
        <v>1312</v>
      </c>
      <c r="E5" s="101" t="s">
        <v>36</v>
      </c>
      <c r="F5" s="112" t="s">
        <v>1191</v>
      </c>
      <c r="K5" s="101" t="s">
        <v>43</v>
      </c>
      <c r="L5" s="104"/>
      <c r="M5" s="111">
        <f>ROUND(SUM(O28:O29),0)</f>
        <v>0</v>
      </c>
    </row>
    <row r="6" spans="1:26" ht="18" hidden="1" customHeight="1" x14ac:dyDescent="0.25">
      <c r="B6" s="76" t="str">
        <f t="shared" si="0"/>
        <v>Hide</v>
      </c>
      <c r="C6" s="109" t="s">
        <v>1313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ROUND(COUNT(O28:O29),0)</f>
        <v>0</v>
      </c>
      <c r="P6" s="101"/>
      <c r="W6" s="101" t="str">
        <f>"ESTIMATED "&amp;O27&amp;"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E18</f>
        <v>A108357|A108357|A108357|A108358|A108358|A108357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F18</f>
        <v>ITPN-207481|ITPN-207482|ITPN-207483|ITPN-207484|ITPN-207485|ITPN-207481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B17</f>
        <v>Hide</v>
      </c>
      <c r="C12" s="74" t="s">
        <v>1798</v>
      </c>
      <c r="E12" s="74" t="str">
        <f>"A108357"</f>
        <v>A108357</v>
      </c>
      <c r="F12" s="74" t="str">
        <f>"ITPN-207481"</f>
        <v>ITPN-207481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6" si="1">B18</f>
        <v>Hide</v>
      </c>
      <c r="C13" s="74" t="str">
        <f>"""Ceres NTFB Live"",""NTFB Live"",""5766"",""1"",""Invt. Pick"",""2"",""ITPN-207482"""</f>
        <v>"Ceres NTFB Live","NTFB Live","5766","1","Invt. Pick","2","ITPN-207482"</v>
      </c>
      <c r="E13" s="74" t="str">
        <f>"A108357"</f>
        <v>A108357</v>
      </c>
      <c r="F13" s="74" t="str">
        <f>"ITPN-207482"</f>
        <v>ITPN-207482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Pick"",""2"",""ITPN-207483"""</f>
        <v>"Ceres NTFB Live","NTFB Live","5766","1","Invt. Pick","2","ITPN-207483"</v>
      </c>
      <c r="E14" s="74" t="str">
        <f>"A108357"</f>
        <v>A108357</v>
      </c>
      <c r="F14" s="74" t="str">
        <f>"ITPN-207483"</f>
        <v>ITPN-207483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Pick"",""2"",""ITPN-207484"""</f>
        <v>"Ceres NTFB Live","NTFB Live","5766","1","Invt. Pick","2","ITPN-207484"</v>
      </c>
      <c r="E15" s="74" t="str">
        <f>"A108358"</f>
        <v>A108358</v>
      </c>
      <c r="F15" s="74" t="str">
        <f>"ITPN-207484"</f>
        <v>ITPN-207484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Pick"",""2"",""ITPN-207485"""</f>
        <v>"Ceres NTFB Live","NTFB Live","5766","1","Invt. Pick","2","ITPN-207485"</v>
      </c>
      <c r="E16" s="74" t="str">
        <f>"A108358"</f>
        <v>A108358</v>
      </c>
      <c r="F16" s="74" t="str">
        <f>"ITPN-207485"</f>
        <v>ITPN-207485</v>
      </c>
      <c r="I16" s="98"/>
      <c r="J16" s="98"/>
      <c r="K16" s="98"/>
      <c r="L16" s="98"/>
      <c r="M16" s="98"/>
    </row>
    <row r="17" spans="1:17" hidden="1" x14ac:dyDescent="0.25">
      <c r="A17" s="74" t="s">
        <v>6</v>
      </c>
      <c r="B17" s="76" t="str">
        <f t="shared" ref="B17:B27" si="2">B18</f>
        <v>Hide</v>
      </c>
      <c r="C17" s="74" t="s">
        <v>1311</v>
      </c>
      <c r="E17" s="74" t="str">
        <f>E12</f>
        <v>A108357</v>
      </c>
      <c r="F17" s="74" t="str">
        <f>F12</f>
        <v>ITPN-207481</v>
      </c>
      <c r="I17" s="98"/>
      <c r="J17" s="98"/>
      <c r="K17" s="98"/>
      <c r="L17" s="98"/>
      <c r="M17" s="98"/>
    </row>
    <row r="18" spans="1:17" hidden="1" x14ac:dyDescent="0.25">
      <c r="A18" s="74" t="s">
        <v>6</v>
      </c>
      <c r="B18" s="76" t="str">
        <f t="shared" si="2"/>
        <v>Hide</v>
      </c>
      <c r="E18" s="92" t="s">
        <v>1797</v>
      </c>
      <c r="F18" s="92" t="s">
        <v>1796</v>
      </c>
      <c r="I18" s="98"/>
      <c r="J18" s="98"/>
      <c r="K18" s="98"/>
      <c r="L18" s="98"/>
      <c r="M18" s="98"/>
    </row>
    <row r="19" spans="1:17" hidden="1" x14ac:dyDescent="0.25">
      <c r="B19" s="76" t="str">
        <f t="shared" si="2"/>
        <v>Hide</v>
      </c>
      <c r="E19" s="101" t="s">
        <v>20</v>
      </c>
      <c r="F19" s="184" t="s">
        <v>179</v>
      </c>
      <c r="G19" s="185"/>
      <c r="H19" s="185"/>
      <c r="I19" s="185"/>
      <c r="J19" s="185"/>
      <c r="K19" s="185"/>
      <c r="L19" s="185"/>
      <c r="M19" s="186"/>
    </row>
    <row r="20" spans="1:17" hidden="1" x14ac:dyDescent="0.25">
      <c r="B20" s="76" t="str">
        <f t="shared" si="2"/>
        <v>Hide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hidden="1" thickBot="1" x14ac:dyDescent="0.3">
      <c r="B21" s="76" t="str">
        <f t="shared" si="2"/>
        <v>Hide</v>
      </c>
      <c r="F21" s="190"/>
      <c r="G21" s="191"/>
      <c r="H21" s="191"/>
      <c r="I21" s="191"/>
      <c r="J21" s="191"/>
      <c r="K21" s="191"/>
      <c r="L21" s="191"/>
      <c r="M21" s="192"/>
    </row>
    <row r="22" spans="1:17" hidden="1" x14ac:dyDescent="0.25">
      <c r="B22" s="76" t="str">
        <f t="shared" si="2"/>
        <v>Hide</v>
      </c>
    </row>
    <row r="23" spans="1:17" hidden="1" x14ac:dyDescent="0.25">
      <c r="B23" s="76" t="str">
        <f t="shared" si="2"/>
        <v>Hide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hidden="1" x14ac:dyDescent="0.25">
      <c r="B24" s="76" t="str">
        <f t="shared" si="2"/>
        <v>Hide</v>
      </c>
      <c r="E24" s="101"/>
    </row>
    <row r="25" spans="1:17" hidden="1" x14ac:dyDescent="0.25">
      <c r="B25" s="76" t="str">
        <f t="shared" si="2"/>
        <v>Hide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hidden="1" x14ac:dyDescent="0.25">
      <c r="B26" s="76" t="str">
        <f t="shared" si="2"/>
        <v>Hide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hidden="1" customHeight="1" x14ac:dyDescent="0.25">
      <c r="A27" s="97"/>
      <c r="B27" s="76" t="str">
        <f t="shared" si="2"/>
        <v>Hide</v>
      </c>
      <c r="C27" s="96" t="s">
        <v>44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hidden="1" customHeight="1" x14ac:dyDescent="0.25">
      <c r="B28" s="92" t="str">
        <f>IF(I28="","Hide","Show")</f>
        <v>Hide</v>
      </c>
      <c r="C28" s="74" t="s">
        <v>179</v>
      </c>
      <c r="D28" s="89" t="s">
        <v>179</v>
      </c>
      <c r="E28" s="89" t="s">
        <v>179</v>
      </c>
      <c r="F28" s="89" t="s">
        <v>179</v>
      </c>
      <c r="G28" s="91" t="s">
        <v>180</v>
      </c>
      <c r="H28" s="90" t="s">
        <v>179</v>
      </c>
      <c r="I28" s="89" t="s">
        <v>179</v>
      </c>
      <c r="J28" s="89" t="s">
        <v>179</v>
      </c>
      <c r="K28" s="88"/>
      <c r="L28" s="87"/>
      <c r="M28" s="87"/>
      <c r="N28" s="85" t="s">
        <v>179</v>
      </c>
      <c r="O28" s="85" t="s">
        <v>179</v>
      </c>
      <c r="P28" s="85" t="s">
        <v>179</v>
      </c>
      <c r="Q28" s="86" t="s">
        <v>56</v>
      </c>
    </row>
    <row r="29" spans="1:17" hidden="1" x14ac:dyDescent="0.25">
      <c r="B29" s="74" t="str">
        <f>B28</f>
        <v>Hide</v>
      </c>
      <c r="H29" s="85"/>
      <c r="I29" s="85"/>
    </row>
    <row r="30" spans="1:17" ht="15.75" hidden="1" thickBot="1" x14ac:dyDescent="0.3">
      <c r="B30" s="74" t="str">
        <f>+B29</f>
        <v>Hide</v>
      </c>
      <c r="D30" s="193" t="str">
        <f>+"END OF "&amp;D2</f>
        <v>END OF GOLDEN GATE BAPTIST CHURCH  (003405P) - NO REF|EGGS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PICKUP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003405P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GOLDEN GATE BAPTIST CHURCH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1311</v>
      </c>
      <c r="G36" s="174"/>
      <c r="H36" s="174"/>
      <c r="I36" s="174"/>
      <c r="J36" s="174"/>
      <c r="K36" s="174"/>
      <c r="L36" s="174"/>
      <c r="M36" s="175"/>
    </row>
    <row r="37" spans="1:16" ht="30" hidden="1" customHeight="1" x14ac:dyDescent="0.25">
      <c r="A37" s="76" t="s">
        <v>184</v>
      </c>
      <c r="D37" s="80"/>
      <c r="E37" s="78"/>
      <c r="F37" s="174" t="str">
        <f>"A108358"</f>
        <v>A108358</v>
      </c>
      <c r="G37" s="174"/>
      <c r="H37" s="174"/>
      <c r="I37" s="174"/>
      <c r="J37" s="174"/>
      <c r="K37" s="174"/>
      <c r="L37" s="174"/>
      <c r="M37" s="175"/>
    </row>
    <row r="38" spans="1:16" ht="15.75" hidden="1" customHeight="1" thickBot="1" x14ac:dyDescent="0.3">
      <c r="A38" s="76" t="s">
        <v>19</v>
      </c>
      <c r="D38" s="80"/>
      <c r="E38" s="78"/>
      <c r="F38" s="78"/>
      <c r="G38" s="79"/>
      <c r="H38" s="78"/>
      <c r="I38" s="78"/>
      <c r="J38" s="78"/>
      <c r="K38" s="78"/>
      <c r="L38" s="78"/>
      <c r="M38" s="77"/>
    </row>
    <row r="39" spans="1:16" ht="36.75" x14ac:dyDescent="0.45">
      <c r="A39" s="76" t="s">
        <v>30</v>
      </c>
      <c r="D39" s="176" t="s">
        <v>50</v>
      </c>
      <c r="E39" s="177"/>
      <c r="F39" s="178">
        <f>+F7</f>
        <v>42612</v>
      </c>
      <c r="G39" s="179"/>
      <c r="H39" s="179"/>
      <c r="I39" s="179"/>
      <c r="J39" s="179"/>
      <c r="K39" s="179"/>
      <c r="L39" s="179"/>
      <c r="M39" s="180"/>
    </row>
    <row r="40" spans="1:16" ht="37.5" thickBot="1" x14ac:dyDescent="0.5">
      <c r="A40" s="76" t="s">
        <v>30</v>
      </c>
      <c r="D40" s="158" t="s">
        <v>32</v>
      </c>
      <c r="E40" s="159"/>
      <c r="F40" s="160"/>
      <c r="G40" s="161"/>
      <c r="H40" s="161"/>
      <c r="I40" s="161"/>
      <c r="J40" s="161"/>
      <c r="K40" s="161"/>
      <c r="L40" s="161"/>
      <c r="M40" s="162"/>
    </row>
    <row r="41" spans="1:16" ht="80.099999999999994" customHeight="1" thickBot="1" x14ac:dyDescent="0.3">
      <c r="A41" s="76" t="s">
        <v>30</v>
      </c>
      <c r="D41" s="163" t="s">
        <v>51</v>
      </c>
      <c r="E41" s="164"/>
      <c r="F41" s="164"/>
      <c r="G41" s="164"/>
      <c r="H41" s="164"/>
      <c r="I41" s="164"/>
      <c r="J41" s="164"/>
      <c r="K41" s="164"/>
      <c r="L41" s="164"/>
      <c r="M41" s="165"/>
    </row>
    <row r="42" spans="1:16" ht="90" customHeight="1" thickBot="1" x14ac:dyDescent="0.3">
      <c r="A42" s="76" t="s">
        <v>30</v>
      </c>
      <c r="D42" s="166" t="str">
        <f>IF(F6="DELIVER",G6,F6)</f>
        <v>PICKUP</v>
      </c>
      <c r="E42" s="167"/>
      <c r="F42" s="167"/>
      <c r="G42" s="167"/>
      <c r="H42" s="167"/>
      <c r="I42" s="167"/>
      <c r="J42" s="167"/>
      <c r="K42" s="167"/>
      <c r="L42" s="167"/>
      <c r="M42" s="168"/>
    </row>
    <row r="43" spans="1:16" ht="60" customHeight="1" thickBot="1" x14ac:dyDescent="0.3">
      <c r="A43" s="76" t="s">
        <v>30</v>
      </c>
      <c r="D43" s="169" t="s">
        <v>55</v>
      </c>
      <c r="E43" s="170"/>
      <c r="F43" s="170"/>
      <c r="G43" s="170"/>
      <c r="H43" s="170"/>
      <c r="I43" s="170"/>
      <c r="J43" s="170"/>
      <c r="K43" s="170"/>
      <c r="L43" s="170"/>
      <c r="M43" s="171"/>
    </row>
  </sheetData>
  <mergeCells count="18">
    <mergeCell ref="D39:E39"/>
    <mergeCell ref="F39:M39"/>
    <mergeCell ref="D2:M2"/>
    <mergeCell ref="F19:M21"/>
    <mergeCell ref="D30:M30"/>
    <mergeCell ref="D32:M32"/>
    <mergeCell ref="D33:E33"/>
    <mergeCell ref="F33:M33"/>
    <mergeCell ref="F37:M37"/>
    <mergeCell ref="D34:E34"/>
    <mergeCell ref="F34:M34"/>
    <mergeCell ref="D35:E35"/>
    <mergeCell ref="F36:M36"/>
    <mergeCell ref="D40:E40"/>
    <mergeCell ref="F40:M40"/>
    <mergeCell ref="D41:M41"/>
    <mergeCell ref="D42:M42"/>
    <mergeCell ref="D43:M43"/>
  </mergeCells>
  <conditionalFormatting sqref="F6">
    <cfRule type="cellIs" dxfId="314" priority="5" operator="equal">
      <formula>"DELIVER"</formula>
    </cfRule>
  </conditionalFormatting>
  <conditionalFormatting sqref="D32">
    <cfRule type="cellIs" dxfId="313" priority="4" operator="equal">
      <formula>"DELIVER"</formula>
    </cfRule>
  </conditionalFormatting>
  <conditionalFormatting sqref="D2:M2">
    <cfRule type="expression" dxfId="312" priority="3">
      <formula>$F$6="DELIVER"</formula>
    </cfRule>
  </conditionalFormatting>
  <conditionalFormatting sqref="G6">
    <cfRule type="expression" dxfId="311" priority="2">
      <formula>$F$6="DELIVER"</formula>
    </cfRule>
  </conditionalFormatting>
  <conditionalFormatting sqref="D42">
    <cfRule type="expression" dxfId="31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1652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NEW ENCOUNTERS  (003511RY) - REF|EGGS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"003511RY"</f>
        <v>003511RY</v>
      </c>
      <c r="E4" s="101" t="s">
        <v>37</v>
      </c>
      <c r="F4" s="105" t="str">
        <f>C4</f>
        <v>003511RY</v>
      </c>
      <c r="K4" s="101" t="s">
        <v>42</v>
      </c>
      <c r="L4" s="104"/>
      <c r="M4" s="111">
        <f>SUM(I25:I26)</f>
        <v>4</v>
      </c>
    </row>
    <row r="5" spans="1:26" ht="18" customHeight="1" x14ac:dyDescent="0.25">
      <c r="B5" s="76" t="str">
        <f t="shared" si="0"/>
        <v>Show</v>
      </c>
      <c r="C5" s="109" t="s">
        <v>1325</v>
      </c>
      <c r="E5" s="101" t="s">
        <v>36</v>
      </c>
      <c r="F5" s="112" t="s">
        <v>1324</v>
      </c>
      <c r="K5" s="101" t="s">
        <v>43</v>
      </c>
      <c r="L5" s="104"/>
      <c r="M5" s="111">
        <f>ROUND(SUM(O25:O26),0)</f>
        <v>92</v>
      </c>
    </row>
    <row r="6" spans="1:26" ht="18" customHeight="1" x14ac:dyDescent="0.25">
      <c r="B6" s="76" t="str">
        <f t="shared" si="0"/>
        <v>Show</v>
      </c>
      <c r="C6" s="109" t="s">
        <v>1326</v>
      </c>
      <c r="E6" s="101" t="s">
        <v>38</v>
      </c>
      <c r="F6" s="105" t="s">
        <v>60</v>
      </c>
      <c r="G6" s="110" t="s">
        <v>737</v>
      </c>
      <c r="I6" s="109"/>
      <c r="J6" s="109"/>
      <c r="K6" s="108" t="s">
        <v>58</v>
      </c>
      <c r="L6" s="108"/>
      <c r="M6" s="107">
        <f>ROUND(COUNT(O25:O26),0)</f>
        <v>1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A108389|A108389|A108389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ITPN-207492|ITPN-207493|ITPN-207492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1327</v>
      </c>
      <c r="E12" s="74" t="s">
        <v>1319</v>
      </c>
      <c r="F12" s="74" t="s">
        <v>1320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Pick"",""2"",""ITPN-207493"""</f>
        <v>"Ceres NTFB Live","NTFB Live","5766","1","Invt. Pick","2","ITPN-207493"</v>
      </c>
      <c r="E13" s="74" t="s">
        <v>1319</v>
      </c>
      <c r="F13" s="74" t="s">
        <v>1321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1319</v>
      </c>
      <c r="E14" s="74" t="str">
        <f>E12</f>
        <v>A108389</v>
      </c>
      <c r="F14" s="74" t="str">
        <f>F12</f>
        <v>ITPN-207492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1322</v>
      </c>
      <c r="F15" s="92" t="s">
        <v>1323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96" t="s">
        <v>44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1488</v>
      </c>
      <c r="D25" s="89" t="s">
        <v>759</v>
      </c>
      <c r="E25" s="89" t="s">
        <v>760</v>
      </c>
      <c r="F25" s="89" t="s">
        <v>761</v>
      </c>
      <c r="G25" s="91" t="s">
        <v>1328</v>
      </c>
      <c r="H25" s="90" t="s">
        <v>762</v>
      </c>
      <c r="I25" s="89">
        <v>4</v>
      </c>
      <c r="J25" s="89" t="s">
        <v>286</v>
      </c>
      <c r="K25" s="88"/>
      <c r="L25" s="87"/>
      <c r="M25" s="87"/>
      <c r="N25" s="85" t="s">
        <v>179</v>
      </c>
      <c r="O25" s="85">
        <v>92</v>
      </c>
      <c r="P25" s="85" t="s">
        <v>57</v>
      </c>
      <c r="Q25" s="86" t="s">
        <v>56</v>
      </c>
    </row>
    <row r="26" spans="1:17" ht="15.75" thickBot="1" x14ac:dyDescent="0.3">
      <c r="B26" s="74" t="str">
        <f>B25</f>
        <v>Show</v>
      </c>
      <c r="H26" s="85"/>
      <c r="I26" s="85"/>
    </row>
    <row r="27" spans="1:17" ht="15.75" thickBot="1" x14ac:dyDescent="0.3">
      <c r="B27" s="74" t="str">
        <f>+B26</f>
        <v>Show</v>
      </c>
      <c r="D27" s="193" t="str">
        <f>+"END OF "&amp;D2</f>
        <v>END OF NEW ENCOUNTERS  (003511RY) - REF|EGGS PICK LIST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003511RY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NEW ENCOUNTERS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1319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NAVARRO 1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309" priority="5" operator="equal">
      <formula>"DELIVER"</formula>
    </cfRule>
  </conditionalFormatting>
  <conditionalFormatting sqref="D29">
    <cfRule type="cellIs" dxfId="308" priority="4" operator="equal">
      <formula>"DELIVER"</formula>
    </cfRule>
  </conditionalFormatting>
  <conditionalFormatting sqref="D2:M2">
    <cfRule type="expression" dxfId="307" priority="3">
      <formula>$F$6="DELIVER"</formula>
    </cfRule>
  </conditionalFormatting>
  <conditionalFormatting sqref="G6">
    <cfRule type="expression" dxfId="306" priority="2">
      <formula>$F$6="DELIVER"</formula>
    </cfRule>
  </conditionalFormatting>
  <conditionalFormatting sqref="D38">
    <cfRule type="expression" dxfId="30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5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1654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IF(F35="","HIDESHEET","")</f>
        <v>HIDESHEET</v>
      </c>
      <c r="C2" s="74" t="s">
        <v>7</v>
      </c>
      <c r="D2" s="181" t="str">
        <f>IF(E35="",F5&amp;"  ("&amp;F4&amp;") - NO "&amp;C34,F5&amp;"  ("&amp;F4&amp;") - "&amp;C34&amp;" PICK LIST")</f>
        <v>ESTATES AT GRAND PRAIRIE INC.  (003549RA)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"003549RA"</f>
        <v>003549RA</v>
      </c>
      <c r="E4" s="101" t="s">
        <v>37</v>
      </c>
      <c r="F4" s="105" t="str">
        <f>C4</f>
        <v>003549RA</v>
      </c>
      <c r="K4" s="101" t="s">
        <v>42</v>
      </c>
      <c r="L4" s="104"/>
      <c r="M4" s="111">
        <f>SUM(I35:I36)</f>
        <v>0</v>
      </c>
    </row>
    <row r="5" spans="1:26" ht="18" hidden="1" customHeight="1" x14ac:dyDescent="0.25">
      <c r="B5" s="76" t="str">
        <f t="shared" si="0"/>
        <v>Hide</v>
      </c>
      <c r="C5" s="109" t="s">
        <v>1331</v>
      </c>
      <c r="E5" s="101" t="s">
        <v>36</v>
      </c>
      <c r="F5" s="112" t="s">
        <v>1188</v>
      </c>
      <c r="K5" s="101" t="s">
        <v>43</v>
      </c>
      <c r="L5" s="104"/>
      <c r="M5" s="111">
        <f>ROUND(SUM(O35:O36),0)</f>
        <v>0</v>
      </c>
    </row>
    <row r="6" spans="1:26" ht="18" hidden="1" customHeight="1" x14ac:dyDescent="0.25">
      <c r="B6" s="76" t="str">
        <f t="shared" si="0"/>
        <v>Hide</v>
      </c>
      <c r="C6" s="109" t="s">
        <v>1332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ROUND(COUNT(O35:O36),0)</f>
        <v>0</v>
      </c>
      <c r="P6" s="101"/>
      <c r="W6" s="101" t="str">
        <f>"ESTIMATED "&amp;O34&amp;"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E25</f>
        <v>A107954|A107954|A107954|A108008|A108008|A108008|A108230|A108259|A108259|A108336|A108418|A108435|A107954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F25</f>
        <v>ITPN-207433|ITPN-207434|ITPN-207435|ITPN-207437|ITPN-207439|ITPN-207440|ITPN-207454|ITPN-207463|ITPN-207464|ITPN-207469|ITPN-207503|ITPN-207504|ITPN-207433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B24</f>
        <v>Hide</v>
      </c>
      <c r="C12" s="74" t="s">
        <v>1333</v>
      </c>
      <c r="E12" s="74" t="str">
        <f>"A107954"</f>
        <v>A107954</v>
      </c>
      <c r="F12" s="74" t="str">
        <f>"ITPN-207433"</f>
        <v>ITPN-207433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23" si="1">B25</f>
        <v>Hide</v>
      </c>
      <c r="C13" s="74" t="str">
        <f>"""Ceres NTFB Live"",""NTFB Live"",""5766"",""1"",""Invt. Pick"",""2"",""ITPN-207434"""</f>
        <v>"Ceres NTFB Live","NTFB Live","5766","1","Invt. Pick","2","ITPN-207434"</v>
      </c>
      <c r="E13" s="74" t="str">
        <f>"A107954"</f>
        <v>A107954</v>
      </c>
      <c r="F13" s="74" t="str">
        <f>"ITPN-207434"</f>
        <v>ITPN-207434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Pick"",""2"",""ITPN-207435"""</f>
        <v>"Ceres NTFB Live","NTFB Live","5766","1","Invt. Pick","2","ITPN-207435"</v>
      </c>
      <c r="E14" s="74" t="str">
        <f>"A107954"</f>
        <v>A107954</v>
      </c>
      <c r="F14" s="74" t="str">
        <f>"ITPN-207435"</f>
        <v>ITPN-207435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Pick"",""2"",""ITPN-207437"""</f>
        <v>"Ceres NTFB Live","NTFB Live","5766","1","Invt. Pick","2","ITPN-207437"</v>
      </c>
      <c r="E15" s="74" t="str">
        <f>"A108008"</f>
        <v>A108008</v>
      </c>
      <c r="F15" s="74" t="str">
        <f>"ITPN-207437"</f>
        <v>ITPN-207437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Pick"",""2"",""ITPN-207439"""</f>
        <v>"Ceres NTFB Live","NTFB Live","5766","1","Invt. Pick","2","ITPN-207439"</v>
      </c>
      <c r="E16" s="74" t="str">
        <f>"A108008"</f>
        <v>A108008</v>
      </c>
      <c r="F16" s="74" t="str">
        <f>"ITPN-207439"</f>
        <v>ITPN-207439</v>
      </c>
      <c r="I16" s="98"/>
      <c r="J16" s="98"/>
      <c r="K16" s="98"/>
      <c r="L16" s="98"/>
      <c r="M16" s="98"/>
    </row>
    <row r="17" spans="1:13" hidden="1" x14ac:dyDescent="0.25">
      <c r="A17" s="74" t="s">
        <v>173</v>
      </c>
      <c r="B17" s="76" t="str">
        <f t="shared" si="1"/>
        <v>Hide</v>
      </c>
      <c r="C17" s="74" t="str">
        <f>"""Ceres NTFB Live"",""NTFB Live"",""5766"",""1"",""Invt. Pick"",""2"",""ITPN-207440"""</f>
        <v>"Ceres NTFB Live","NTFB Live","5766","1","Invt. Pick","2","ITPN-207440"</v>
      </c>
      <c r="E17" s="74" t="str">
        <f>"A108008"</f>
        <v>A108008</v>
      </c>
      <c r="F17" s="74" t="str">
        <f>"ITPN-207440"</f>
        <v>ITPN-207440</v>
      </c>
      <c r="I17" s="98"/>
      <c r="J17" s="98"/>
      <c r="K17" s="98"/>
      <c r="L17" s="98"/>
      <c r="M17" s="98"/>
    </row>
    <row r="18" spans="1:13" hidden="1" x14ac:dyDescent="0.25">
      <c r="A18" s="74" t="s">
        <v>173</v>
      </c>
      <c r="B18" s="76" t="str">
        <f t="shared" si="1"/>
        <v>Hide</v>
      </c>
      <c r="C18" s="74" t="str">
        <f>"""Ceres NTFB Live"",""NTFB Live"",""5766"",""1"",""Invt. Pick"",""2"",""ITPN-207454"""</f>
        <v>"Ceres NTFB Live","NTFB Live","5766","1","Invt. Pick","2","ITPN-207454"</v>
      </c>
      <c r="E18" s="74" t="str">
        <f>"A108230"</f>
        <v>A108230</v>
      </c>
      <c r="F18" s="74" t="str">
        <f>"ITPN-207454"</f>
        <v>ITPN-207454</v>
      </c>
      <c r="I18" s="98"/>
      <c r="J18" s="98"/>
      <c r="K18" s="98"/>
      <c r="L18" s="98"/>
      <c r="M18" s="98"/>
    </row>
    <row r="19" spans="1:13" hidden="1" x14ac:dyDescent="0.25">
      <c r="A19" s="74" t="s">
        <v>173</v>
      </c>
      <c r="B19" s="76" t="str">
        <f t="shared" si="1"/>
        <v>Hide</v>
      </c>
      <c r="C19" s="74" t="str">
        <f>"""Ceres NTFB Live"",""NTFB Live"",""5766"",""1"",""Invt. Pick"",""2"",""ITPN-207463"""</f>
        <v>"Ceres NTFB Live","NTFB Live","5766","1","Invt. Pick","2","ITPN-207463"</v>
      </c>
      <c r="E19" s="74" t="str">
        <f>"A108259"</f>
        <v>A108259</v>
      </c>
      <c r="F19" s="74" t="str">
        <f>"ITPN-207463"</f>
        <v>ITPN-207463</v>
      </c>
      <c r="I19" s="98"/>
      <c r="J19" s="98"/>
      <c r="K19" s="98"/>
      <c r="L19" s="98"/>
      <c r="M19" s="98"/>
    </row>
    <row r="20" spans="1:13" hidden="1" x14ac:dyDescent="0.25">
      <c r="A20" s="74" t="s">
        <v>173</v>
      </c>
      <c r="B20" s="76" t="str">
        <f t="shared" si="1"/>
        <v>Hide</v>
      </c>
      <c r="C20" s="74" t="str">
        <f>"""Ceres NTFB Live"",""NTFB Live"",""5766"",""1"",""Invt. Pick"",""2"",""ITPN-207464"""</f>
        <v>"Ceres NTFB Live","NTFB Live","5766","1","Invt. Pick","2","ITPN-207464"</v>
      </c>
      <c r="E20" s="74" t="str">
        <f>"A108259"</f>
        <v>A108259</v>
      </c>
      <c r="F20" s="74" t="str">
        <f>"ITPN-207464"</f>
        <v>ITPN-207464</v>
      </c>
      <c r="I20" s="98"/>
      <c r="J20" s="98"/>
      <c r="K20" s="98"/>
      <c r="L20" s="98"/>
      <c r="M20" s="98"/>
    </row>
    <row r="21" spans="1:13" hidden="1" x14ac:dyDescent="0.25">
      <c r="A21" s="74" t="s">
        <v>173</v>
      </c>
      <c r="B21" s="76" t="str">
        <f t="shared" si="1"/>
        <v>Hide</v>
      </c>
      <c r="C21" s="74" t="str">
        <f>"""Ceres NTFB Live"",""NTFB Live"",""5766"",""1"",""Invt. Pick"",""2"",""ITPN-207469"""</f>
        <v>"Ceres NTFB Live","NTFB Live","5766","1","Invt. Pick","2","ITPN-207469"</v>
      </c>
      <c r="E21" s="74" t="str">
        <f>"A108336"</f>
        <v>A108336</v>
      </c>
      <c r="F21" s="74" t="str">
        <f>"ITPN-207469"</f>
        <v>ITPN-207469</v>
      </c>
      <c r="I21" s="98"/>
      <c r="J21" s="98"/>
      <c r="K21" s="98"/>
      <c r="L21" s="98"/>
      <c r="M21" s="98"/>
    </row>
    <row r="22" spans="1:13" hidden="1" x14ac:dyDescent="0.25">
      <c r="A22" s="74" t="s">
        <v>173</v>
      </c>
      <c r="B22" s="76" t="str">
        <f t="shared" si="1"/>
        <v>Hide</v>
      </c>
      <c r="C22" s="74" t="str">
        <f>"""Ceres NTFB Live"",""NTFB Live"",""5766"",""1"",""Invt. Pick"",""2"",""ITPN-207503"""</f>
        <v>"Ceres NTFB Live","NTFB Live","5766","1","Invt. Pick","2","ITPN-207503"</v>
      </c>
      <c r="E22" s="74" t="str">
        <f>"A108418"</f>
        <v>A108418</v>
      </c>
      <c r="F22" s="74" t="str">
        <f>"ITPN-207503"</f>
        <v>ITPN-207503</v>
      </c>
      <c r="I22" s="98"/>
      <c r="J22" s="98"/>
      <c r="K22" s="98"/>
      <c r="L22" s="98"/>
      <c r="M22" s="98"/>
    </row>
    <row r="23" spans="1:13" hidden="1" x14ac:dyDescent="0.25">
      <c r="A23" s="74" t="s">
        <v>173</v>
      </c>
      <c r="B23" s="76" t="str">
        <f t="shared" si="1"/>
        <v>Hide</v>
      </c>
      <c r="C23" s="74" t="str">
        <f>"""Ceres NTFB Live"",""NTFB Live"",""5766"",""1"",""Invt. Pick"",""2"",""ITPN-207504"""</f>
        <v>"Ceres NTFB Live","NTFB Live","5766","1","Invt. Pick","2","ITPN-207504"</v>
      </c>
      <c r="E23" s="74" t="str">
        <f>"A108435"</f>
        <v>A108435</v>
      </c>
      <c r="F23" s="74" t="str">
        <f>"ITPN-207504"</f>
        <v>ITPN-207504</v>
      </c>
      <c r="I23" s="98"/>
      <c r="J23" s="98"/>
      <c r="K23" s="98"/>
      <c r="L23" s="98"/>
      <c r="M23" s="98"/>
    </row>
    <row r="24" spans="1:13" hidden="1" x14ac:dyDescent="0.25">
      <c r="A24" s="74" t="s">
        <v>6</v>
      </c>
      <c r="B24" s="76" t="str">
        <f t="shared" ref="B24:B34" si="2">B25</f>
        <v>Hide</v>
      </c>
      <c r="C24" s="74" t="s">
        <v>1334</v>
      </c>
      <c r="E24" s="74" t="str">
        <f>E12</f>
        <v>A107954</v>
      </c>
      <c r="F24" s="74" t="str">
        <f>F12</f>
        <v>ITPN-207433</v>
      </c>
      <c r="I24" s="98"/>
      <c r="J24" s="98"/>
      <c r="K24" s="98"/>
      <c r="L24" s="98"/>
      <c r="M24" s="98"/>
    </row>
    <row r="25" spans="1:13" hidden="1" x14ac:dyDescent="0.25">
      <c r="A25" s="74" t="s">
        <v>6</v>
      </c>
      <c r="B25" s="76" t="str">
        <f t="shared" si="2"/>
        <v>Hide</v>
      </c>
      <c r="E25" s="92" t="s">
        <v>1795</v>
      </c>
      <c r="F25" s="92" t="s">
        <v>1794</v>
      </c>
      <c r="I25" s="98"/>
      <c r="J25" s="98"/>
      <c r="K25" s="98"/>
      <c r="L25" s="98"/>
      <c r="M25" s="98"/>
    </row>
    <row r="26" spans="1:13" hidden="1" x14ac:dyDescent="0.25">
      <c r="B26" s="76" t="str">
        <f t="shared" si="2"/>
        <v>Hide</v>
      </c>
      <c r="E26" s="101" t="s">
        <v>20</v>
      </c>
      <c r="F26" s="184" t="s">
        <v>179</v>
      </c>
      <c r="G26" s="185"/>
      <c r="H26" s="185"/>
      <c r="I26" s="185"/>
      <c r="J26" s="185"/>
      <c r="K26" s="185"/>
      <c r="L26" s="185"/>
      <c r="M26" s="186"/>
    </row>
    <row r="27" spans="1:13" hidden="1" x14ac:dyDescent="0.25">
      <c r="B27" s="76" t="str">
        <f t="shared" si="2"/>
        <v>Hide</v>
      </c>
      <c r="F27" s="187"/>
      <c r="G27" s="188"/>
      <c r="H27" s="188"/>
      <c r="I27" s="188"/>
      <c r="J27" s="188"/>
      <c r="K27" s="188"/>
      <c r="L27" s="188"/>
      <c r="M27" s="189"/>
    </row>
    <row r="28" spans="1:13" ht="15.75" hidden="1" thickBot="1" x14ac:dyDescent="0.3">
      <c r="B28" s="76" t="str">
        <f t="shared" si="2"/>
        <v>Hide</v>
      </c>
      <c r="F28" s="190"/>
      <c r="G28" s="191"/>
      <c r="H28" s="191"/>
      <c r="I28" s="191"/>
      <c r="J28" s="191"/>
      <c r="K28" s="191"/>
      <c r="L28" s="191"/>
      <c r="M28" s="192"/>
    </row>
    <row r="29" spans="1:13" hidden="1" x14ac:dyDescent="0.25">
      <c r="B29" s="76" t="str">
        <f t="shared" si="2"/>
        <v>Hide</v>
      </c>
    </row>
    <row r="30" spans="1:13" hidden="1" x14ac:dyDescent="0.25">
      <c r="B30" s="76" t="str">
        <f t="shared" si="2"/>
        <v>Hide</v>
      </c>
      <c r="E30" s="101" t="s">
        <v>33</v>
      </c>
      <c r="F30" s="100"/>
      <c r="G30" s="102"/>
      <c r="H30" s="101" t="s">
        <v>53</v>
      </c>
      <c r="I30" s="100"/>
      <c r="J30" s="100"/>
      <c r="K30" s="100"/>
    </row>
    <row r="31" spans="1:13" hidden="1" x14ac:dyDescent="0.25">
      <c r="B31" s="76" t="str">
        <f t="shared" si="2"/>
        <v>Hide</v>
      </c>
      <c r="E31" s="101"/>
    </row>
    <row r="32" spans="1:13" hidden="1" x14ac:dyDescent="0.25">
      <c r="B32" s="76" t="str">
        <f t="shared" si="2"/>
        <v>Hide</v>
      </c>
      <c r="E32" s="101" t="s">
        <v>32</v>
      </c>
      <c r="F32" s="100"/>
      <c r="G32" s="102"/>
      <c r="H32" s="101" t="s">
        <v>54</v>
      </c>
      <c r="I32" s="100"/>
      <c r="J32" s="100"/>
      <c r="K32" s="100"/>
    </row>
    <row r="33" spans="1:17" hidden="1" x14ac:dyDescent="0.25">
      <c r="B33" s="76" t="str">
        <f t="shared" si="2"/>
        <v>Hide</v>
      </c>
      <c r="C33" s="74" t="s">
        <v>52</v>
      </c>
      <c r="D33" s="74" t="s">
        <v>52</v>
      </c>
      <c r="F33" s="99"/>
      <c r="I33" s="98"/>
      <c r="J33" s="98"/>
      <c r="K33" s="98"/>
      <c r="L33" s="98"/>
      <c r="M33" s="98"/>
    </row>
    <row r="34" spans="1:17" s="75" customFormat="1" ht="15.95" hidden="1" customHeight="1" x14ac:dyDescent="0.25">
      <c r="A34" s="97"/>
      <c r="B34" s="76" t="str">
        <f t="shared" si="2"/>
        <v>Hide</v>
      </c>
      <c r="C34" s="96" t="s">
        <v>44</v>
      </c>
      <c r="D34" s="94" t="s">
        <v>28</v>
      </c>
      <c r="E34" s="94" t="s">
        <v>26</v>
      </c>
      <c r="F34" s="94" t="s">
        <v>29</v>
      </c>
      <c r="G34" s="94" t="s">
        <v>57</v>
      </c>
      <c r="H34" s="94" t="s">
        <v>27</v>
      </c>
      <c r="I34" s="94" t="s">
        <v>25</v>
      </c>
      <c r="J34" s="94" t="s">
        <v>10</v>
      </c>
      <c r="K34" s="94" t="s">
        <v>24</v>
      </c>
      <c r="L34" s="95"/>
      <c r="M34" s="94" t="s">
        <v>31</v>
      </c>
      <c r="N34" s="93" t="s">
        <v>21</v>
      </c>
      <c r="O34" s="93" t="s">
        <v>22</v>
      </c>
      <c r="P34" s="93" t="s">
        <v>23</v>
      </c>
      <c r="Q34" s="93"/>
    </row>
    <row r="35" spans="1:17" ht="24.95" hidden="1" customHeight="1" x14ac:dyDescent="0.25">
      <c r="B35" s="92" t="str">
        <f>IF(I35="","Hide","Show")</f>
        <v>Hide</v>
      </c>
      <c r="C35" s="74" t="s">
        <v>179</v>
      </c>
      <c r="D35" s="89" t="s">
        <v>179</v>
      </c>
      <c r="E35" s="89" t="s">
        <v>179</v>
      </c>
      <c r="F35" s="89" t="s">
        <v>179</v>
      </c>
      <c r="G35" s="91" t="s">
        <v>180</v>
      </c>
      <c r="H35" s="90" t="s">
        <v>179</v>
      </c>
      <c r="I35" s="89" t="s">
        <v>179</v>
      </c>
      <c r="J35" s="89" t="s">
        <v>179</v>
      </c>
      <c r="K35" s="88"/>
      <c r="L35" s="87"/>
      <c r="M35" s="87"/>
      <c r="N35" s="85" t="s">
        <v>179</v>
      </c>
      <c r="O35" s="85" t="s">
        <v>179</v>
      </c>
      <c r="P35" s="85" t="s">
        <v>179</v>
      </c>
      <c r="Q35" s="86" t="s">
        <v>56</v>
      </c>
    </row>
    <row r="36" spans="1:17" hidden="1" x14ac:dyDescent="0.25">
      <c r="B36" s="74" t="str">
        <f>B35</f>
        <v>Hide</v>
      </c>
      <c r="H36" s="85"/>
      <c r="I36" s="85"/>
    </row>
    <row r="37" spans="1:17" ht="15.75" hidden="1" thickBot="1" x14ac:dyDescent="0.3">
      <c r="B37" s="74" t="str">
        <f>+B36</f>
        <v>Hide</v>
      </c>
      <c r="D37" s="193" t="str">
        <f>+"END OF "&amp;D2</f>
        <v>END OF ESTATES AT GRAND PRAIRIE INC.  (003549RA) - NO REF|EGGS</v>
      </c>
      <c r="E37" s="194"/>
      <c r="F37" s="194"/>
      <c r="G37" s="194"/>
      <c r="H37" s="194"/>
      <c r="I37" s="194"/>
      <c r="J37" s="194"/>
      <c r="K37" s="194"/>
      <c r="L37" s="194"/>
      <c r="M37" s="195"/>
    </row>
    <row r="38" spans="1:17" ht="15.75" thickBot="1" x14ac:dyDescent="0.3"/>
    <row r="39" spans="1:17" ht="80.099999999999994" customHeight="1" thickBot="1" x14ac:dyDescent="0.3">
      <c r="A39" s="76" t="s">
        <v>30</v>
      </c>
      <c r="D39" s="166" t="str">
        <f>+F6</f>
        <v>PICKUP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7" ht="36.75" x14ac:dyDescent="0.45">
      <c r="A40" s="76" t="s">
        <v>30</v>
      </c>
      <c r="D40" s="176" t="s">
        <v>12</v>
      </c>
      <c r="E40" s="177"/>
      <c r="F40" s="196" t="str">
        <f>+F4</f>
        <v>003549RA</v>
      </c>
      <c r="G40" s="196"/>
      <c r="H40" s="196"/>
      <c r="I40" s="196"/>
      <c r="J40" s="196"/>
      <c r="K40" s="196"/>
      <c r="L40" s="196"/>
      <c r="M40" s="197"/>
    </row>
    <row r="41" spans="1:17" ht="37.5" customHeight="1" thickBot="1" x14ac:dyDescent="0.5">
      <c r="A41" s="76" t="s">
        <v>30</v>
      </c>
      <c r="D41" s="158" t="s">
        <v>5</v>
      </c>
      <c r="E41" s="159"/>
      <c r="F41" s="161" t="str">
        <f>+F5</f>
        <v>ESTATES AT GRAND PRAIRIE INC.</v>
      </c>
      <c r="G41" s="161"/>
      <c r="H41" s="161"/>
      <c r="I41" s="161"/>
      <c r="J41" s="161"/>
      <c r="K41" s="161"/>
      <c r="L41" s="161"/>
      <c r="M41" s="162"/>
      <c r="N41" s="84"/>
      <c r="O41" s="84"/>
      <c r="P41" s="84"/>
    </row>
    <row r="42" spans="1:17" ht="33.75" hidden="1" thickBot="1" x14ac:dyDescent="0.45">
      <c r="A42" s="76" t="s">
        <v>19</v>
      </c>
      <c r="D42" s="172" t="s">
        <v>49</v>
      </c>
      <c r="E42" s="173"/>
      <c r="F42" s="82"/>
      <c r="G42" s="83"/>
      <c r="H42" s="82"/>
      <c r="I42" s="82"/>
      <c r="J42" s="82"/>
      <c r="K42" s="82"/>
      <c r="L42" s="82"/>
      <c r="M42" s="81"/>
    </row>
    <row r="43" spans="1:17" ht="30" hidden="1" customHeight="1" x14ac:dyDescent="0.25">
      <c r="A43" s="76" t="s">
        <v>19</v>
      </c>
      <c r="D43" s="80"/>
      <c r="E43" s="78"/>
      <c r="F43" s="174" t="s">
        <v>1334</v>
      </c>
      <c r="G43" s="174"/>
      <c r="H43" s="174"/>
      <c r="I43" s="174"/>
      <c r="J43" s="174"/>
      <c r="K43" s="174"/>
      <c r="L43" s="174"/>
      <c r="M43" s="175"/>
    </row>
    <row r="44" spans="1:17" ht="30" hidden="1" customHeight="1" x14ac:dyDescent="0.25">
      <c r="A44" s="76" t="s">
        <v>184</v>
      </c>
      <c r="D44" s="80"/>
      <c r="E44" s="78"/>
      <c r="F44" s="174" t="str">
        <f>"A108008"</f>
        <v>A108008</v>
      </c>
      <c r="G44" s="174"/>
      <c r="H44" s="174"/>
      <c r="I44" s="174"/>
      <c r="J44" s="174"/>
      <c r="K44" s="174"/>
      <c r="L44" s="174"/>
      <c r="M44" s="175"/>
    </row>
    <row r="45" spans="1:17" ht="30" hidden="1" customHeight="1" x14ac:dyDescent="0.25">
      <c r="A45" s="76" t="s">
        <v>184</v>
      </c>
      <c r="D45" s="80"/>
      <c r="E45" s="78"/>
      <c r="F45" s="174" t="str">
        <f>"A108230"</f>
        <v>A108230</v>
      </c>
      <c r="G45" s="174"/>
      <c r="H45" s="174"/>
      <c r="I45" s="174"/>
      <c r="J45" s="174"/>
      <c r="K45" s="174"/>
      <c r="L45" s="174"/>
      <c r="M45" s="175"/>
    </row>
    <row r="46" spans="1:17" ht="30" hidden="1" customHeight="1" x14ac:dyDescent="0.25">
      <c r="A46" s="76" t="s">
        <v>184</v>
      </c>
      <c r="D46" s="80"/>
      <c r="E46" s="78"/>
      <c r="F46" s="174" t="str">
        <f>"A108259"</f>
        <v>A108259</v>
      </c>
      <c r="G46" s="174"/>
      <c r="H46" s="174"/>
      <c r="I46" s="174"/>
      <c r="J46" s="174"/>
      <c r="K46" s="174"/>
      <c r="L46" s="174"/>
      <c r="M46" s="175"/>
    </row>
    <row r="47" spans="1:17" ht="30" hidden="1" customHeight="1" x14ac:dyDescent="0.25">
      <c r="A47" s="76" t="s">
        <v>184</v>
      </c>
      <c r="D47" s="80"/>
      <c r="E47" s="78"/>
      <c r="F47" s="174" t="str">
        <f>"A108336"</f>
        <v>A108336</v>
      </c>
      <c r="G47" s="174"/>
      <c r="H47" s="174"/>
      <c r="I47" s="174"/>
      <c r="J47" s="174"/>
      <c r="K47" s="174"/>
      <c r="L47" s="174"/>
      <c r="M47" s="175"/>
    </row>
    <row r="48" spans="1:17" ht="30" hidden="1" customHeight="1" x14ac:dyDescent="0.25">
      <c r="A48" s="76" t="s">
        <v>184</v>
      </c>
      <c r="D48" s="80"/>
      <c r="E48" s="78"/>
      <c r="F48" s="174" t="str">
        <f>"A108418"</f>
        <v>A108418</v>
      </c>
      <c r="G48" s="174"/>
      <c r="H48" s="174"/>
      <c r="I48" s="174"/>
      <c r="J48" s="174"/>
      <c r="K48" s="174"/>
      <c r="L48" s="174"/>
      <c r="M48" s="175"/>
    </row>
    <row r="49" spans="1:13" ht="30" hidden="1" customHeight="1" x14ac:dyDescent="0.25">
      <c r="A49" s="76" t="s">
        <v>184</v>
      </c>
      <c r="D49" s="80"/>
      <c r="E49" s="78"/>
      <c r="F49" s="174" t="str">
        <f>"A108435"</f>
        <v>A108435</v>
      </c>
      <c r="G49" s="174"/>
      <c r="H49" s="174"/>
      <c r="I49" s="174"/>
      <c r="J49" s="174"/>
      <c r="K49" s="174"/>
      <c r="L49" s="174"/>
      <c r="M49" s="175"/>
    </row>
    <row r="50" spans="1:13" ht="15.75" hidden="1" customHeight="1" thickBot="1" x14ac:dyDescent="0.3">
      <c r="A50" s="76" t="s">
        <v>19</v>
      </c>
      <c r="D50" s="80"/>
      <c r="E50" s="78"/>
      <c r="F50" s="78"/>
      <c r="G50" s="79"/>
      <c r="H50" s="78"/>
      <c r="I50" s="78"/>
      <c r="J50" s="78"/>
      <c r="K50" s="78"/>
      <c r="L50" s="78"/>
      <c r="M50" s="77"/>
    </row>
    <row r="51" spans="1:13" ht="36.75" x14ac:dyDescent="0.45">
      <c r="A51" s="76" t="s">
        <v>30</v>
      </c>
      <c r="D51" s="176" t="s">
        <v>50</v>
      </c>
      <c r="E51" s="177"/>
      <c r="F51" s="178">
        <f>+F7</f>
        <v>42612</v>
      </c>
      <c r="G51" s="179"/>
      <c r="H51" s="179"/>
      <c r="I51" s="179"/>
      <c r="J51" s="179"/>
      <c r="K51" s="179"/>
      <c r="L51" s="179"/>
      <c r="M51" s="180"/>
    </row>
    <row r="52" spans="1:13" ht="37.5" thickBot="1" x14ac:dyDescent="0.5">
      <c r="A52" s="76" t="s">
        <v>30</v>
      </c>
      <c r="D52" s="158" t="s">
        <v>32</v>
      </c>
      <c r="E52" s="159"/>
      <c r="F52" s="160"/>
      <c r="G52" s="161"/>
      <c r="H52" s="161"/>
      <c r="I52" s="161"/>
      <c r="J52" s="161"/>
      <c r="K52" s="161"/>
      <c r="L52" s="161"/>
      <c r="M52" s="162"/>
    </row>
    <row r="53" spans="1:13" ht="80.099999999999994" customHeight="1" thickBot="1" x14ac:dyDescent="0.3">
      <c r="A53" s="76" t="s">
        <v>30</v>
      </c>
      <c r="D53" s="163" t="s">
        <v>51</v>
      </c>
      <c r="E53" s="164"/>
      <c r="F53" s="164"/>
      <c r="G53" s="164"/>
      <c r="H53" s="164"/>
      <c r="I53" s="164"/>
      <c r="J53" s="164"/>
      <c r="K53" s="164"/>
      <c r="L53" s="164"/>
      <c r="M53" s="165"/>
    </row>
    <row r="54" spans="1:13" ht="90" customHeight="1" thickBot="1" x14ac:dyDescent="0.3">
      <c r="A54" s="76" t="s">
        <v>30</v>
      </c>
      <c r="D54" s="166" t="str">
        <f>IF(F6="DELIVER",G6,F6)</f>
        <v>PICKUP</v>
      </c>
      <c r="E54" s="167"/>
      <c r="F54" s="167"/>
      <c r="G54" s="167"/>
      <c r="H54" s="167"/>
      <c r="I54" s="167"/>
      <c r="J54" s="167"/>
      <c r="K54" s="167"/>
      <c r="L54" s="167"/>
      <c r="M54" s="168"/>
    </row>
    <row r="55" spans="1:13" ht="60" customHeight="1" thickBot="1" x14ac:dyDescent="0.3">
      <c r="A55" s="76" t="s">
        <v>30</v>
      </c>
      <c r="D55" s="169" t="s">
        <v>55</v>
      </c>
      <c r="E55" s="170"/>
      <c r="F55" s="170"/>
      <c r="G55" s="170"/>
      <c r="H55" s="170"/>
      <c r="I55" s="170"/>
      <c r="J55" s="170"/>
      <c r="K55" s="170"/>
      <c r="L55" s="170"/>
      <c r="M55" s="171"/>
    </row>
  </sheetData>
  <mergeCells count="23">
    <mergeCell ref="D2:M2"/>
    <mergeCell ref="F26:M28"/>
    <mergeCell ref="D37:M37"/>
    <mergeCell ref="D39:M39"/>
    <mergeCell ref="D40:E40"/>
    <mergeCell ref="F40:M40"/>
    <mergeCell ref="D41:E41"/>
    <mergeCell ref="F41:M41"/>
    <mergeCell ref="D42:E42"/>
    <mergeCell ref="F43:M43"/>
    <mergeCell ref="D51:E51"/>
    <mergeCell ref="F51:M51"/>
    <mergeCell ref="F49:M49"/>
    <mergeCell ref="F44:M44"/>
    <mergeCell ref="F45:M45"/>
    <mergeCell ref="F46:M46"/>
    <mergeCell ref="F47:M47"/>
    <mergeCell ref="F48:M48"/>
    <mergeCell ref="D52:E52"/>
    <mergeCell ref="F52:M52"/>
    <mergeCell ref="D53:M53"/>
    <mergeCell ref="D54:M54"/>
    <mergeCell ref="D55:M55"/>
  </mergeCells>
  <conditionalFormatting sqref="F6">
    <cfRule type="cellIs" dxfId="304" priority="5" operator="equal">
      <formula>"DELIVER"</formula>
    </cfRule>
  </conditionalFormatting>
  <conditionalFormatting sqref="D39">
    <cfRule type="cellIs" dxfId="303" priority="4" operator="equal">
      <formula>"DELIVER"</formula>
    </cfRule>
  </conditionalFormatting>
  <conditionalFormatting sqref="D2:M2">
    <cfRule type="expression" dxfId="302" priority="3">
      <formula>$F$6="DELIVER"</formula>
    </cfRule>
  </conditionalFormatting>
  <conditionalFormatting sqref="G6">
    <cfRule type="expression" dxfId="301" priority="2">
      <formula>$F$6="DELIVER"</formula>
    </cfRule>
  </conditionalFormatting>
  <conditionalFormatting sqref="D54">
    <cfRule type="expression" dxfId="30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1" hidden="1" customWidth="1"/>
    <col min="2" max="2" width="7.140625" style="1" hidden="1" customWidth="1"/>
    <col min="3" max="3" width="66.140625" style="1" hidden="1" customWidth="1"/>
    <col min="4" max="4" width="10.7109375" style="1" customWidth="1"/>
    <col min="5" max="6" width="12.7109375" style="1" customWidth="1"/>
    <col min="7" max="7" width="12.7109375" style="4" customWidth="1"/>
    <col min="8" max="8" width="48.7109375" style="1" customWidth="1"/>
    <col min="9" max="9" width="5.7109375" style="1" customWidth="1"/>
    <col min="10" max="10" width="6.85546875" style="1" customWidth="1"/>
    <col min="11" max="11" width="9.7109375" style="1" customWidth="1"/>
    <col min="12" max="12" width="1.140625" style="1" hidden="1" customWidth="1"/>
    <col min="13" max="13" width="11.42578125" style="1" customWidth="1"/>
    <col min="14" max="14" width="5.85546875" style="1" hidden="1" customWidth="1"/>
    <col min="15" max="15" width="8" style="1" hidden="1" customWidth="1"/>
    <col min="16" max="16" width="8.5703125" style="1" hidden="1" customWidth="1"/>
    <col min="17" max="17" width="9.5703125" style="1" hidden="1" customWidth="1"/>
    <col min="18" max="18" width="6.7109375" style="1" hidden="1" customWidth="1"/>
    <col min="19" max="19" width="9.140625" style="1" hidden="1" customWidth="1"/>
    <col min="20" max="20" width="9.42578125" style="1" hidden="1" customWidth="1"/>
    <col min="21" max="26" width="9.140625" style="1" hidden="1" customWidth="1"/>
    <col min="27" max="16384" width="9.140625" style="1"/>
  </cols>
  <sheetData>
    <row r="1" spans="1:26" ht="15.75" hidden="1" thickBot="1" x14ac:dyDescent="0.3">
      <c r="A1" s="1" t="s">
        <v>1554</v>
      </c>
      <c r="B1" s="1" t="s">
        <v>11</v>
      </c>
      <c r="C1" s="1" t="s">
        <v>6</v>
      </c>
      <c r="D1" s="1" t="s">
        <v>30</v>
      </c>
      <c r="E1" s="1" t="s">
        <v>30</v>
      </c>
      <c r="F1" s="1" t="s">
        <v>30</v>
      </c>
      <c r="G1" s="4" t="s">
        <v>30</v>
      </c>
      <c r="H1" s="1" t="s">
        <v>30</v>
      </c>
      <c r="I1" s="1" t="s">
        <v>30</v>
      </c>
      <c r="J1" s="1" t="s">
        <v>30</v>
      </c>
      <c r="K1" s="1" t="s">
        <v>30</v>
      </c>
      <c r="L1" s="1" t="s">
        <v>19</v>
      </c>
      <c r="M1" s="1" t="s">
        <v>30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  <c r="S1" s="1" t="s">
        <v>19</v>
      </c>
      <c r="T1" s="1" t="s">
        <v>19</v>
      </c>
      <c r="U1" s="1" t="s">
        <v>19</v>
      </c>
      <c r="V1" s="1" t="s">
        <v>19</v>
      </c>
      <c r="W1" s="1" t="s">
        <v>19</v>
      </c>
      <c r="X1" s="1" t="s">
        <v>19</v>
      </c>
      <c r="Y1" s="1" t="s">
        <v>19</v>
      </c>
      <c r="Z1" s="1" t="s">
        <v>19</v>
      </c>
    </row>
    <row r="2" spans="1:26" ht="30" customHeight="1" thickBot="1" x14ac:dyDescent="0.35">
      <c r="A2" s="1" t="s">
        <v>30</v>
      </c>
      <c r="B2" s="15" t="str">
        <f>IF(F24="","HIDESHEET","")</f>
        <v/>
      </c>
      <c r="C2" s="1" t="s">
        <v>7</v>
      </c>
      <c r="D2" s="137" t="str">
        <f>IF(E24="",F5&amp;"  ("&amp;F4&amp;") - NO "&amp;C23,F5&amp;"  ("&amp;F4&amp;") - "&amp;C23&amp;" PICK LIST")</f>
        <v>DALLAS LIFE FOUNDATION  (001042RA) - DRY|DRYUSDA|MCTF PICK LIST</v>
      </c>
      <c r="E2" s="138"/>
      <c r="F2" s="138"/>
      <c r="G2" s="138"/>
      <c r="H2" s="138"/>
      <c r="I2" s="138"/>
      <c r="J2" s="138"/>
      <c r="K2" s="138"/>
      <c r="L2" s="138"/>
      <c r="M2" s="139"/>
      <c r="N2" s="11"/>
      <c r="O2" s="11"/>
      <c r="P2" s="11"/>
      <c r="Q2" s="11"/>
      <c r="R2" s="11"/>
    </row>
    <row r="3" spans="1:26" ht="11.25" hidden="1" customHeight="1" x14ac:dyDescent="0.3">
      <c r="A3" s="1" t="s">
        <v>6</v>
      </c>
      <c r="B3" s="15" t="str">
        <f t="shared" ref="B3:B23" si="0">B4</f>
        <v>Show</v>
      </c>
      <c r="D3" s="6"/>
      <c r="E3" s="6"/>
      <c r="F3" s="6"/>
      <c r="G3" s="42"/>
      <c r="H3" s="6"/>
      <c r="I3" s="6"/>
      <c r="J3" s="6"/>
      <c r="K3" s="6"/>
      <c r="L3" s="6"/>
    </row>
    <row r="4" spans="1:26" ht="18" customHeight="1" x14ac:dyDescent="0.25">
      <c r="B4" s="15" t="str">
        <f t="shared" si="0"/>
        <v>Show</v>
      </c>
      <c r="C4" t="s">
        <v>1206</v>
      </c>
      <c r="E4" s="12" t="s">
        <v>37</v>
      </c>
      <c r="F4" s="27" t="str">
        <f>C4</f>
        <v>001042RA</v>
      </c>
      <c r="K4" s="12" t="s">
        <v>42</v>
      </c>
      <c r="L4" s="5"/>
      <c r="M4" s="33">
        <f>SUM(I24:I26)</f>
        <v>30</v>
      </c>
    </row>
    <row r="5" spans="1:26" ht="18" customHeight="1" x14ac:dyDescent="0.25">
      <c r="B5" s="15" t="str">
        <f t="shared" si="0"/>
        <v>Show</v>
      </c>
      <c r="C5" s="10" t="s">
        <v>1201</v>
      </c>
      <c r="E5" s="12" t="s">
        <v>36</v>
      </c>
      <c r="F5" s="28" t="s">
        <v>1185</v>
      </c>
      <c r="K5" s="12" t="s">
        <v>43</v>
      </c>
      <c r="L5" s="5"/>
      <c r="M5" s="33">
        <f>ROUND(SUM(O24:O26),0)</f>
        <v>840</v>
      </c>
    </row>
    <row r="6" spans="1:26" ht="18" customHeight="1" x14ac:dyDescent="0.25">
      <c r="B6" s="15" t="str">
        <f t="shared" si="0"/>
        <v>Show</v>
      </c>
      <c r="C6" s="10" t="s">
        <v>1207</v>
      </c>
      <c r="E6" s="12" t="s">
        <v>38</v>
      </c>
      <c r="F6" s="27" t="s">
        <v>61</v>
      </c>
      <c r="G6" s="43" t="s">
        <v>179</v>
      </c>
      <c r="I6" s="10"/>
      <c r="J6" s="10"/>
      <c r="K6" s="47" t="s">
        <v>58</v>
      </c>
      <c r="L6" s="47"/>
      <c r="M6" s="48">
        <f>ROUND(COUNT(O24:O26),0)</f>
        <v>2</v>
      </c>
      <c r="P6" s="12"/>
      <c r="W6" s="12" t="str">
        <f>"ESTIMATED "&amp;O23&amp;" PALLETS:"</f>
        <v>ESTIMATED LBS PALLETS:</v>
      </c>
    </row>
    <row r="7" spans="1:26" ht="18" customHeight="1" thickBot="1" x14ac:dyDescent="0.3">
      <c r="B7" s="15" t="str">
        <f t="shared" si="0"/>
        <v>Show</v>
      </c>
      <c r="E7" s="12" t="s">
        <v>39</v>
      </c>
      <c r="F7" s="29">
        <v>42612</v>
      </c>
      <c r="K7" s="12"/>
      <c r="M7" s="30"/>
      <c r="P7" s="12"/>
      <c r="W7" s="12" t="s">
        <v>46</v>
      </c>
    </row>
    <row r="8" spans="1:26" ht="15" hidden="1" customHeight="1" x14ac:dyDescent="0.25">
      <c r="A8" s="1" t="s">
        <v>6</v>
      </c>
      <c r="B8" s="15" t="str">
        <f t="shared" si="0"/>
        <v>Show</v>
      </c>
      <c r="E8" s="12" t="s">
        <v>40</v>
      </c>
      <c r="F8" s="27" t="str">
        <f>E14</f>
        <v>A105108|A105108</v>
      </c>
      <c r="K8" s="12"/>
      <c r="L8" s="5"/>
      <c r="P8" s="12"/>
      <c r="W8" s="12" t="s">
        <v>47</v>
      </c>
    </row>
    <row r="9" spans="1:26" ht="15" hidden="1" customHeight="1" x14ac:dyDescent="0.25">
      <c r="A9" s="1" t="s">
        <v>6</v>
      </c>
      <c r="B9" s="15" t="str">
        <f t="shared" si="0"/>
        <v>Show</v>
      </c>
      <c r="E9" s="12" t="s">
        <v>41</v>
      </c>
      <c r="F9" s="27" t="str">
        <f>F14</f>
        <v>ITPN-207416|ITPN-207416</v>
      </c>
      <c r="K9" s="12"/>
      <c r="L9" s="5"/>
      <c r="M9" s="13"/>
      <c r="P9" s="12"/>
      <c r="W9" s="12" t="s">
        <v>48</v>
      </c>
    </row>
    <row r="10" spans="1:26" ht="15" hidden="1" customHeight="1" x14ac:dyDescent="0.25">
      <c r="A10" s="1" t="s">
        <v>6</v>
      </c>
      <c r="B10" s="15" t="str">
        <f t="shared" si="0"/>
        <v>Show</v>
      </c>
    </row>
    <row r="11" spans="1:26" ht="15.75" hidden="1" customHeight="1" x14ac:dyDescent="0.25">
      <c r="A11" s="1" t="s">
        <v>6</v>
      </c>
      <c r="B11" s="15" t="str">
        <f t="shared" si="0"/>
        <v>Show</v>
      </c>
      <c r="E11" s="1" t="s">
        <v>8</v>
      </c>
      <c r="F11" s="1" t="s">
        <v>9</v>
      </c>
      <c r="H11" s="12"/>
      <c r="I11" s="20"/>
      <c r="J11" s="20"/>
      <c r="K11" s="20"/>
      <c r="L11" s="20"/>
      <c r="M11" s="20"/>
    </row>
    <row r="12" spans="1:26" ht="15.75" hidden="1" thickBot="1" x14ac:dyDescent="0.3">
      <c r="A12" s="1" t="s">
        <v>6</v>
      </c>
      <c r="B12" s="15" t="str">
        <f t="shared" si="0"/>
        <v>Show</v>
      </c>
      <c r="C12" s="1" t="s">
        <v>1201</v>
      </c>
      <c r="E12" s="1" t="s">
        <v>1202</v>
      </c>
      <c r="F12" s="1" t="s">
        <v>1203</v>
      </c>
      <c r="I12" s="20"/>
      <c r="J12" s="20"/>
      <c r="K12" s="20"/>
      <c r="L12" s="20"/>
      <c r="M12" s="20"/>
    </row>
    <row r="13" spans="1:26" ht="15.75" hidden="1" thickBot="1" x14ac:dyDescent="0.3">
      <c r="A13" s="1" t="s">
        <v>6</v>
      </c>
      <c r="B13" s="15" t="str">
        <f t="shared" si="0"/>
        <v>Show</v>
      </c>
      <c r="C13" s="1" t="s">
        <v>1202</v>
      </c>
      <c r="E13" s="1" t="str">
        <f>E12</f>
        <v>A105108</v>
      </c>
      <c r="F13" s="1" t="str">
        <f>F12</f>
        <v>ITPN-207416</v>
      </c>
      <c r="I13" s="20"/>
      <c r="J13" s="20"/>
      <c r="K13" s="20"/>
      <c r="L13" s="20"/>
      <c r="M13" s="20"/>
    </row>
    <row r="14" spans="1:26" ht="15.75" hidden="1" thickBot="1" x14ac:dyDescent="0.3">
      <c r="A14" s="1" t="s">
        <v>6</v>
      </c>
      <c r="B14" s="15" t="str">
        <f t="shared" si="0"/>
        <v>Show</v>
      </c>
      <c r="E14" s="8" t="s">
        <v>1204</v>
      </c>
      <c r="F14" s="8" t="s">
        <v>1205</v>
      </c>
      <c r="I14" s="20"/>
      <c r="J14" s="20"/>
      <c r="K14" s="20"/>
      <c r="L14" s="20"/>
      <c r="M14" s="20"/>
    </row>
    <row r="15" spans="1:26" x14ac:dyDescent="0.25">
      <c r="B15" s="15" t="str">
        <f t="shared" si="0"/>
        <v>Show</v>
      </c>
      <c r="E15" s="12" t="s">
        <v>20</v>
      </c>
      <c r="F15" s="140" t="s">
        <v>179</v>
      </c>
      <c r="G15" s="141"/>
      <c r="H15" s="141"/>
      <c r="I15" s="141"/>
      <c r="J15" s="141"/>
      <c r="K15" s="141"/>
      <c r="L15" s="141"/>
      <c r="M15" s="142"/>
    </row>
    <row r="16" spans="1:26" x14ac:dyDescent="0.25">
      <c r="B16" s="15" t="str">
        <f t="shared" si="0"/>
        <v>Show</v>
      </c>
      <c r="F16" s="143"/>
      <c r="G16" s="144"/>
      <c r="H16" s="144"/>
      <c r="I16" s="144"/>
      <c r="J16" s="144"/>
      <c r="K16" s="144"/>
      <c r="L16" s="144"/>
      <c r="M16" s="145"/>
    </row>
    <row r="17" spans="1:17" ht="15.75" thickBot="1" x14ac:dyDescent="0.3">
      <c r="B17" s="15" t="str">
        <f t="shared" si="0"/>
        <v>Show</v>
      </c>
      <c r="F17" s="146"/>
      <c r="G17" s="147"/>
      <c r="H17" s="147"/>
      <c r="I17" s="147"/>
      <c r="J17" s="147"/>
      <c r="K17" s="147"/>
      <c r="L17" s="147"/>
      <c r="M17" s="148"/>
    </row>
    <row r="18" spans="1:17" x14ac:dyDescent="0.25">
      <c r="B18" s="15" t="str">
        <f t="shared" si="0"/>
        <v>Show</v>
      </c>
    </row>
    <row r="19" spans="1:17" x14ac:dyDescent="0.25">
      <c r="B19" s="15" t="str">
        <f t="shared" si="0"/>
        <v>Show</v>
      </c>
      <c r="E19" s="12" t="s">
        <v>33</v>
      </c>
      <c r="F19" s="3"/>
      <c r="G19" s="44"/>
      <c r="H19" s="12" t="s">
        <v>53</v>
      </c>
      <c r="I19" s="3"/>
      <c r="J19" s="3"/>
      <c r="K19" s="3"/>
    </row>
    <row r="20" spans="1:17" x14ac:dyDescent="0.25">
      <c r="B20" s="15" t="str">
        <f t="shared" si="0"/>
        <v>Show</v>
      </c>
      <c r="E20" s="12"/>
    </row>
    <row r="21" spans="1:17" x14ac:dyDescent="0.25">
      <c r="B21" s="15" t="str">
        <f t="shared" si="0"/>
        <v>Show</v>
      </c>
      <c r="E21" s="12" t="s">
        <v>32</v>
      </c>
      <c r="F21" s="3"/>
      <c r="G21" s="44"/>
      <c r="H21" s="12" t="s">
        <v>54</v>
      </c>
      <c r="I21" s="3"/>
      <c r="J21" s="3"/>
      <c r="K21" s="3"/>
    </row>
    <row r="22" spans="1:17" x14ac:dyDescent="0.25">
      <c r="B22" s="15" t="str">
        <f t="shared" si="0"/>
        <v>Show</v>
      </c>
      <c r="C22" s="1" t="s">
        <v>52</v>
      </c>
      <c r="D22" s="1" t="s">
        <v>52</v>
      </c>
      <c r="F22" s="2"/>
      <c r="I22" s="20"/>
      <c r="J22" s="20"/>
      <c r="K22" s="20"/>
      <c r="L22" s="20"/>
      <c r="M22" s="20"/>
    </row>
    <row r="23" spans="1:17" s="4" customFormat="1" ht="15.95" customHeight="1" x14ac:dyDescent="0.25">
      <c r="A23" s="14"/>
      <c r="B23" s="15" t="str">
        <f t="shared" si="0"/>
        <v>Show</v>
      </c>
      <c r="C23" s="32" t="s">
        <v>79</v>
      </c>
      <c r="D23" s="39" t="s">
        <v>28</v>
      </c>
      <c r="E23" s="39" t="s">
        <v>26</v>
      </c>
      <c r="F23" s="39" t="s">
        <v>29</v>
      </c>
      <c r="G23" s="39" t="s">
        <v>57</v>
      </c>
      <c r="H23" s="39" t="s">
        <v>27</v>
      </c>
      <c r="I23" s="39" t="s">
        <v>25</v>
      </c>
      <c r="J23" s="39" t="s">
        <v>10</v>
      </c>
      <c r="K23" s="39" t="s">
        <v>24</v>
      </c>
      <c r="L23" s="40"/>
      <c r="M23" s="39" t="s">
        <v>31</v>
      </c>
      <c r="N23" s="17" t="s">
        <v>21</v>
      </c>
      <c r="O23" s="17" t="s">
        <v>22</v>
      </c>
      <c r="P23" s="17" t="s">
        <v>23</v>
      </c>
      <c r="Q23" s="17"/>
    </row>
    <row r="24" spans="1:17" ht="24.95" customHeight="1" x14ac:dyDescent="0.25">
      <c r="B24" s="8" t="str">
        <f>IF(I24="","Hide","Show")</f>
        <v>Show</v>
      </c>
      <c r="C24" s="1" t="s">
        <v>1215</v>
      </c>
      <c r="D24" s="38" t="s">
        <v>1208</v>
      </c>
      <c r="E24" s="38" t="s">
        <v>1209</v>
      </c>
      <c r="F24" s="38" t="s">
        <v>1210</v>
      </c>
      <c r="G24" s="41" t="s">
        <v>1211</v>
      </c>
      <c r="H24" s="35" t="s">
        <v>1212</v>
      </c>
      <c r="I24" s="38">
        <v>12</v>
      </c>
      <c r="J24" s="38" t="s">
        <v>286</v>
      </c>
      <c r="K24" s="34"/>
      <c r="L24" s="36"/>
      <c r="M24" s="36"/>
      <c r="N24" s="30" t="s">
        <v>179</v>
      </c>
      <c r="O24" s="30">
        <v>336</v>
      </c>
      <c r="P24" s="30" t="s">
        <v>183</v>
      </c>
      <c r="Q24" s="37" t="s">
        <v>56</v>
      </c>
    </row>
    <row r="25" spans="1:17" ht="24.95" customHeight="1" x14ac:dyDescent="0.25">
      <c r="A25" s="1" t="s">
        <v>174</v>
      </c>
      <c r="B25" s="8" t="str">
        <f>IF(I25="","Hide","Show")</f>
        <v>Show</v>
      </c>
      <c r="C25" s="1" t="str">
        <f>"""Ceres NTFB Live"",""NTFB Live"",""5767"",""1"",""Invt. Pick"",""2"",""ITPN-207416"",""3"",""10000"""</f>
        <v>"Ceres NTFB Live","NTFB Live","5767","1","Invt. Pick","2","ITPN-207416","3","10000"</v>
      </c>
      <c r="D25" s="38" t="s">
        <v>1213</v>
      </c>
      <c r="E25" s="38" t="s">
        <v>1214</v>
      </c>
      <c r="F25" s="38" t="s">
        <v>1210</v>
      </c>
      <c r="G25" s="41" t="s">
        <v>1211</v>
      </c>
      <c r="H25" s="35" t="s">
        <v>1212</v>
      </c>
      <c r="I25" s="38">
        <v>18</v>
      </c>
      <c r="J25" s="38" t="s">
        <v>286</v>
      </c>
      <c r="K25" s="34"/>
      <c r="L25" s="36"/>
      <c r="M25" s="36"/>
      <c r="N25" s="30" t="s">
        <v>179</v>
      </c>
      <c r="O25" s="30">
        <v>504</v>
      </c>
      <c r="P25" s="30" t="s">
        <v>183</v>
      </c>
      <c r="Q25" s="37" t="s">
        <v>56</v>
      </c>
    </row>
    <row r="26" spans="1:17" ht="15.75" thickBot="1" x14ac:dyDescent="0.3">
      <c r="B26" s="1" t="str">
        <f>B24</f>
        <v>Show</v>
      </c>
      <c r="H26" s="30"/>
      <c r="I26" s="30"/>
    </row>
    <row r="27" spans="1:17" ht="15.75" thickBot="1" x14ac:dyDescent="0.3">
      <c r="B27" s="1" t="str">
        <f>+B26</f>
        <v>Show</v>
      </c>
      <c r="D27" s="149" t="str">
        <f>+"END OF "&amp;D2</f>
        <v>END OF DALLAS LIFE FOUNDATION  (001042RA) - DRY|DRYUSDA|MCTF PICK LIST</v>
      </c>
      <c r="E27" s="150"/>
      <c r="F27" s="150"/>
      <c r="G27" s="150"/>
      <c r="H27" s="150"/>
      <c r="I27" s="150"/>
      <c r="J27" s="150"/>
      <c r="K27" s="150"/>
      <c r="L27" s="150"/>
      <c r="M27" s="151"/>
    </row>
    <row r="28" spans="1:17" ht="15.75" thickBot="1" x14ac:dyDescent="0.3"/>
    <row r="29" spans="1:17" ht="80.099999999999994" customHeight="1" thickBot="1" x14ac:dyDescent="0.3">
      <c r="A29" s="15" t="s">
        <v>30</v>
      </c>
      <c r="D29" s="121" t="str">
        <f>+F6</f>
        <v>PICKUP</v>
      </c>
      <c r="E29" s="122"/>
      <c r="F29" s="122"/>
      <c r="G29" s="122"/>
      <c r="H29" s="122"/>
      <c r="I29" s="122"/>
      <c r="J29" s="122"/>
      <c r="K29" s="122"/>
      <c r="L29" s="122"/>
      <c r="M29" s="123"/>
    </row>
    <row r="30" spans="1:17" ht="36.75" x14ac:dyDescent="0.45">
      <c r="A30" s="15" t="s">
        <v>30</v>
      </c>
      <c r="D30" s="127" t="s">
        <v>12</v>
      </c>
      <c r="E30" s="128"/>
      <c r="F30" s="152" t="str">
        <f>+F4</f>
        <v>001042RA</v>
      </c>
      <c r="G30" s="152"/>
      <c r="H30" s="152"/>
      <c r="I30" s="152"/>
      <c r="J30" s="152"/>
      <c r="K30" s="152"/>
      <c r="L30" s="152"/>
      <c r="M30" s="153"/>
    </row>
    <row r="31" spans="1:17" ht="37.5" customHeight="1" thickBot="1" x14ac:dyDescent="0.5">
      <c r="A31" s="15" t="s">
        <v>30</v>
      </c>
      <c r="D31" s="132" t="s">
        <v>5</v>
      </c>
      <c r="E31" s="133"/>
      <c r="F31" s="135" t="str">
        <f>+F5</f>
        <v>DALLAS LIFE FOUNDATION</v>
      </c>
      <c r="G31" s="135"/>
      <c r="H31" s="135"/>
      <c r="I31" s="135"/>
      <c r="J31" s="135"/>
      <c r="K31" s="135"/>
      <c r="L31" s="135"/>
      <c r="M31" s="136"/>
      <c r="N31" s="26"/>
      <c r="O31" s="26"/>
      <c r="P31" s="26"/>
    </row>
    <row r="32" spans="1:17" ht="33.75" hidden="1" thickBot="1" x14ac:dyDescent="0.45">
      <c r="A32" s="15" t="s">
        <v>19</v>
      </c>
      <c r="D32" s="154" t="s">
        <v>49</v>
      </c>
      <c r="E32" s="155"/>
      <c r="F32" s="21"/>
      <c r="G32" s="45"/>
      <c r="H32" s="21"/>
      <c r="I32" s="21"/>
      <c r="J32" s="21"/>
      <c r="K32" s="21"/>
      <c r="L32" s="21"/>
      <c r="M32" s="22"/>
    </row>
    <row r="33" spans="1:13" ht="30" hidden="1" customHeight="1" x14ac:dyDescent="0.25">
      <c r="A33" s="15" t="s">
        <v>19</v>
      </c>
      <c r="D33" s="23"/>
      <c r="E33" s="24"/>
      <c r="F33" s="156" t="s">
        <v>1202</v>
      </c>
      <c r="G33" s="156"/>
      <c r="H33" s="156"/>
      <c r="I33" s="156"/>
      <c r="J33" s="156"/>
      <c r="K33" s="156"/>
      <c r="L33" s="156"/>
      <c r="M33" s="157"/>
    </row>
    <row r="34" spans="1:13" ht="15.75" hidden="1" customHeight="1" thickBot="1" x14ac:dyDescent="0.3">
      <c r="A34" s="15" t="s">
        <v>19</v>
      </c>
      <c r="D34" s="23"/>
      <c r="E34" s="24"/>
      <c r="F34" s="24"/>
      <c r="G34" s="46"/>
      <c r="H34" s="24"/>
      <c r="I34" s="24"/>
      <c r="J34" s="24"/>
      <c r="K34" s="24"/>
      <c r="L34" s="24"/>
      <c r="M34" s="25"/>
    </row>
    <row r="35" spans="1:13" ht="36.75" x14ac:dyDescent="0.45">
      <c r="A35" s="15" t="s">
        <v>30</v>
      </c>
      <c r="D35" s="127" t="s">
        <v>50</v>
      </c>
      <c r="E35" s="128"/>
      <c r="F35" s="129">
        <f>+F7</f>
        <v>42612</v>
      </c>
      <c r="G35" s="130"/>
      <c r="H35" s="130"/>
      <c r="I35" s="130"/>
      <c r="J35" s="130"/>
      <c r="K35" s="130"/>
      <c r="L35" s="130"/>
      <c r="M35" s="131"/>
    </row>
    <row r="36" spans="1:13" ht="37.5" thickBot="1" x14ac:dyDescent="0.5">
      <c r="A36" s="15" t="s">
        <v>30</v>
      </c>
      <c r="D36" s="132" t="s">
        <v>32</v>
      </c>
      <c r="E36" s="133"/>
      <c r="F36" s="134"/>
      <c r="G36" s="135"/>
      <c r="H36" s="135"/>
      <c r="I36" s="135"/>
      <c r="J36" s="135"/>
      <c r="K36" s="135"/>
      <c r="L36" s="135"/>
      <c r="M36" s="136"/>
    </row>
    <row r="37" spans="1:13" ht="80.099999999999994" customHeight="1" thickBot="1" x14ac:dyDescent="0.3">
      <c r="A37" s="15" t="s">
        <v>30</v>
      </c>
      <c r="D37" s="118" t="s">
        <v>51</v>
      </c>
      <c r="E37" s="119"/>
      <c r="F37" s="119"/>
      <c r="G37" s="119"/>
      <c r="H37" s="119"/>
      <c r="I37" s="119"/>
      <c r="J37" s="119"/>
      <c r="K37" s="119"/>
      <c r="L37" s="119"/>
      <c r="M37" s="120"/>
    </row>
    <row r="38" spans="1:13" ht="90" customHeight="1" thickBot="1" x14ac:dyDescent="0.3">
      <c r="A38" s="15" t="s">
        <v>30</v>
      </c>
      <c r="D38" s="121" t="str">
        <f>IF(F6="DELIVER",G6,F6)</f>
        <v>PICKUP</v>
      </c>
      <c r="E38" s="122"/>
      <c r="F38" s="122"/>
      <c r="G38" s="122"/>
      <c r="H38" s="122"/>
      <c r="I38" s="122"/>
      <c r="J38" s="122"/>
      <c r="K38" s="122"/>
      <c r="L38" s="122"/>
      <c r="M38" s="123"/>
    </row>
    <row r="39" spans="1:13" ht="60" customHeight="1" thickBot="1" x14ac:dyDescent="0.3">
      <c r="A39" s="15" t="s">
        <v>30</v>
      </c>
      <c r="D39" s="124" t="s">
        <v>55</v>
      </c>
      <c r="E39" s="125"/>
      <c r="F39" s="125"/>
      <c r="G39" s="125"/>
      <c r="H39" s="125"/>
      <c r="I39" s="125"/>
      <c r="J39" s="125"/>
      <c r="K39" s="125"/>
      <c r="L39" s="125"/>
      <c r="M39" s="126"/>
    </row>
  </sheetData>
  <mergeCells count="17">
    <mergeCell ref="D32:E32"/>
    <mergeCell ref="F33:M33"/>
    <mergeCell ref="D2:M2"/>
    <mergeCell ref="F15:M17"/>
    <mergeCell ref="D27:M27"/>
    <mergeCell ref="D31:E31"/>
    <mergeCell ref="F31:M31"/>
    <mergeCell ref="D29:M29"/>
    <mergeCell ref="D30:E30"/>
    <mergeCell ref="F30:M30"/>
    <mergeCell ref="D37:M37"/>
    <mergeCell ref="D38:M38"/>
    <mergeCell ref="D39:M39"/>
    <mergeCell ref="D35:E35"/>
    <mergeCell ref="F35:M35"/>
    <mergeCell ref="D36:E36"/>
    <mergeCell ref="F36:M36"/>
  </mergeCells>
  <conditionalFormatting sqref="F6">
    <cfRule type="cellIs" dxfId="479" priority="149" operator="equal">
      <formula>"DELIVER"</formula>
    </cfRule>
  </conditionalFormatting>
  <conditionalFormatting sqref="D29">
    <cfRule type="cellIs" dxfId="478" priority="10" operator="equal">
      <formula>"DELIVER"</formula>
    </cfRule>
  </conditionalFormatting>
  <conditionalFormatting sqref="D2:M2">
    <cfRule type="expression" dxfId="477" priority="7">
      <formula>$F$6="DELIVER"</formula>
    </cfRule>
  </conditionalFormatting>
  <conditionalFormatting sqref="G6">
    <cfRule type="expression" dxfId="476" priority="6">
      <formula>$F$6="DELIVER"</formula>
    </cfRule>
  </conditionalFormatting>
  <conditionalFormatting sqref="D38">
    <cfRule type="expression" dxfId="47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1659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FAMILY GATEWAY  (004052HSF)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"004052HSF"</f>
        <v>004052HSF</v>
      </c>
      <c r="E4" s="101" t="s">
        <v>37</v>
      </c>
      <c r="F4" s="105" t="str">
        <f>C4</f>
        <v>004052HSF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1354</v>
      </c>
      <c r="E5" s="101" t="s">
        <v>36</v>
      </c>
      <c r="F5" s="112" t="s">
        <v>1190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1355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A108339|A108339|A108339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ITPN-207473|ITPN-207474|ITPN-207473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1354</v>
      </c>
      <c r="E12" s="74" t="s">
        <v>1335</v>
      </c>
      <c r="F12" s="74" t="s">
        <v>1350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Pick"",""2"",""ITPN-207474"""</f>
        <v>"Ceres NTFB Live","NTFB Live","5766","1","Invt. Pick","2","ITPN-207474"</v>
      </c>
      <c r="E13" s="74" t="s">
        <v>1335</v>
      </c>
      <c r="F13" s="74" t="s">
        <v>1351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1335</v>
      </c>
      <c r="E14" s="74" t="str">
        <f>E12</f>
        <v>A108339</v>
      </c>
      <c r="F14" s="74" t="str">
        <f>F12</f>
        <v>ITPN-207473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1352</v>
      </c>
      <c r="F15" s="92" t="s">
        <v>1353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96" t="s">
        <v>44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FAMILY GATEWAY  (004052HSF) - NO REF|EGGS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004052HSF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FAMILY GATEWAY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1335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299" priority="5" operator="equal">
      <formula>"DELIVER"</formula>
    </cfRule>
  </conditionalFormatting>
  <conditionalFormatting sqref="D29">
    <cfRule type="cellIs" dxfId="298" priority="4" operator="equal">
      <formula>"DELIVER"</formula>
    </cfRule>
  </conditionalFormatting>
  <conditionalFormatting sqref="D2:M2">
    <cfRule type="expression" dxfId="297" priority="3">
      <formula>$F$6="DELIVER"</formula>
    </cfRule>
  </conditionalFormatting>
  <conditionalFormatting sqref="G6">
    <cfRule type="expression" dxfId="296" priority="2">
      <formula>$F$6="DELIVER"</formula>
    </cfRule>
  </conditionalFormatting>
  <conditionalFormatting sqref="D38">
    <cfRule type="expression" dxfId="29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1661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RICHARDSON EAST COC  (008146P)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"008146P"</f>
        <v>008146P</v>
      </c>
      <c r="E4" s="101" t="s">
        <v>37</v>
      </c>
      <c r="F4" s="105" t="str">
        <f>C4</f>
        <v>008146P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1360</v>
      </c>
      <c r="E5" s="101" t="s">
        <v>36</v>
      </c>
      <c r="F5" s="112" t="s">
        <v>1181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1361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A108337|A108337|A108337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ITPN-207470|ITPN-207471|ITPN-207470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1360</v>
      </c>
      <c r="E12" s="74" t="s">
        <v>1357</v>
      </c>
      <c r="F12" s="74" t="s">
        <v>1358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Pick"",""2"",""ITPN-207471"""</f>
        <v>"Ceres NTFB Live","NTFB Live","5766","1","Invt. Pick","2","ITPN-207471"</v>
      </c>
      <c r="E13" s="74" t="s">
        <v>1357</v>
      </c>
      <c r="F13" s="74" t="s">
        <v>1359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1357</v>
      </c>
      <c r="E14" s="74" t="str">
        <f>E12</f>
        <v>A108337</v>
      </c>
      <c r="F14" s="74" t="str">
        <f>F12</f>
        <v>ITPN-207470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1792</v>
      </c>
      <c r="F15" s="92" t="s">
        <v>1793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96" t="s">
        <v>44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RICHARDSON EAST COC  (008146P) - NO REF|EGGS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008146P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RICHARDSON EAST COC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1357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COLLIN 3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294" priority="5" operator="equal">
      <formula>"DELIVER"</formula>
    </cfRule>
  </conditionalFormatting>
  <conditionalFormatting sqref="D29">
    <cfRule type="cellIs" dxfId="293" priority="4" operator="equal">
      <formula>"DELIVER"</formula>
    </cfRule>
  </conditionalFormatting>
  <conditionalFormatting sqref="D2:M2">
    <cfRule type="expression" dxfId="292" priority="3">
      <formula>$F$6="DELIVER"</formula>
    </cfRule>
  </conditionalFormatting>
  <conditionalFormatting sqref="G6">
    <cfRule type="expression" dxfId="291" priority="2">
      <formula>$F$6="DELIVER"</formula>
    </cfRule>
  </conditionalFormatting>
  <conditionalFormatting sqref="D38">
    <cfRule type="expression" dxfId="29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1663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>HIDESHEET</v>
      </c>
      <c r="C2" s="74" t="s">
        <v>7</v>
      </c>
      <c r="D2" s="181" t="str">
        <f>IF(E24="",F5&amp;"  ("&amp;F4&amp;") - NO "&amp;C23,F5&amp;"  ("&amp;F4&amp;") - "&amp;C23&amp;" PICK LIST")</f>
        <v>CARROLLTON FRIENDSHIP HOUSE  (026030P)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"026030P"</f>
        <v>026030P</v>
      </c>
      <c r="E4" s="101" t="s">
        <v>37</v>
      </c>
      <c r="F4" s="105" t="str">
        <f>C4</f>
        <v>026030P</v>
      </c>
      <c r="K4" s="101" t="s">
        <v>42</v>
      </c>
      <c r="L4" s="104"/>
      <c r="M4" s="111">
        <f>SUM(I24:I25)</f>
        <v>0</v>
      </c>
    </row>
    <row r="5" spans="1:26" ht="18" hidden="1" customHeight="1" x14ac:dyDescent="0.25">
      <c r="B5" s="76" t="str">
        <f t="shared" si="0"/>
        <v>Hide</v>
      </c>
      <c r="C5" s="109" t="s">
        <v>1372</v>
      </c>
      <c r="E5" s="101" t="s">
        <v>36</v>
      </c>
      <c r="F5" s="112" t="s">
        <v>1177</v>
      </c>
      <c r="K5" s="101" t="s">
        <v>43</v>
      </c>
      <c r="L5" s="104"/>
      <c r="M5" s="111">
        <f>ROUND(SUM(O24:O25),0)</f>
        <v>0</v>
      </c>
    </row>
    <row r="6" spans="1:26" ht="18" hidden="1" customHeight="1" x14ac:dyDescent="0.25">
      <c r="B6" s="76" t="str">
        <f t="shared" si="0"/>
        <v>Hide</v>
      </c>
      <c r="C6" s="109" t="s">
        <v>1377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ROUND(COUNT(O24:O25),0)</f>
        <v>0</v>
      </c>
      <c r="P6" s="101"/>
      <c r="W6" s="101" t="str">
        <f>"ESTIMATED "&amp;O23&amp;"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E14</f>
        <v>A108219|A108219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F14</f>
        <v>ITPN-207453|ITPN-207453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 t="shared" si="0"/>
        <v>Hide</v>
      </c>
      <c r="C12" s="74" t="s">
        <v>1372</v>
      </c>
      <c r="E12" s="74" t="s">
        <v>1365</v>
      </c>
      <c r="F12" s="74" t="s">
        <v>1373</v>
      </c>
      <c r="I12" s="98"/>
      <c r="J12" s="98"/>
      <c r="K12" s="98"/>
      <c r="L12" s="98"/>
      <c r="M12" s="98"/>
    </row>
    <row r="13" spans="1:26" hidden="1" x14ac:dyDescent="0.25">
      <c r="A13" s="74" t="s">
        <v>6</v>
      </c>
      <c r="B13" s="76" t="str">
        <f t="shared" si="0"/>
        <v>Hide</v>
      </c>
      <c r="C13" s="74" t="s">
        <v>1365</v>
      </c>
      <c r="E13" s="74" t="str">
        <f>E12</f>
        <v>A108219</v>
      </c>
      <c r="F13" s="74" t="str">
        <f>F12</f>
        <v>ITPN-207453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si="0"/>
        <v>Hide</v>
      </c>
      <c r="E14" s="92" t="s">
        <v>1374</v>
      </c>
      <c r="F14" s="92" t="s">
        <v>1375</v>
      </c>
      <c r="I14" s="98"/>
      <c r="J14" s="98"/>
      <c r="K14" s="98"/>
      <c r="L14" s="98"/>
      <c r="M14" s="98"/>
    </row>
    <row r="15" spans="1:26" hidden="1" x14ac:dyDescent="0.25">
      <c r="B15" s="76" t="str">
        <f t="shared" si="0"/>
        <v>Hide</v>
      </c>
      <c r="E15" s="101" t="s">
        <v>20</v>
      </c>
      <c r="F15" s="184" t="s">
        <v>1376</v>
      </c>
      <c r="G15" s="185"/>
      <c r="H15" s="185"/>
      <c r="I15" s="185"/>
      <c r="J15" s="185"/>
      <c r="K15" s="185"/>
      <c r="L15" s="185"/>
      <c r="M15" s="186"/>
    </row>
    <row r="16" spans="1:26" hidden="1" x14ac:dyDescent="0.25">
      <c r="B16" s="76" t="str">
        <f t="shared" si="0"/>
        <v>Hide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hidden="1" thickBot="1" x14ac:dyDescent="0.3">
      <c r="B17" s="76" t="str">
        <f t="shared" si="0"/>
        <v>Hide</v>
      </c>
      <c r="F17" s="190"/>
      <c r="G17" s="191"/>
      <c r="H17" s="191"/>
      <c r="I17" s="191"/>
      <c r="J17" s="191"/>
      <c r="K17" s="191"/>
      <c r="L17" s="191"/>
      <c r="M17" s="192"/>
    </row>
    <row r="18" spans="1:17" hidden="1" x14ac:dyDescent="0.25">
      <c r="B18" s="76" t="str">
        <f t="shared" si="0"/>
        <v>Hide</v>
      </c>
    </row>
    <row r="19" spans="1:17" hidden="1" x14ac:dyDescent="0.25">
      <c r="B19" s="76" t="str">
        <f t="shared" si="0"/>
        <v>Hide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hidden="1" x14ac:dyDescent="0.25">
      <c r="B20" s="76" t="str">
        <f t="shared" si="0"/>
        <v>Hide</v>
      </c>
      <c r="E20" s="101"/>
    </row>
    <row r="21" spans="1:17" hidden="1" x14ac:dyDescent="0.25">
      <c r="B21" s="76" t="str">
        <f t="shared" si="0"/>
        <v>Hide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hidden="1" x14ac:dyDescent="0.25">
      <c r="B22" s="76" t="str">
        <f t="shared" si="0"/>
        <v>Hide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hidden="1" customHeight="1" x14ac:dyDescent="0.25">
      <c r="A23" s="97"/>
      <c r="B23" s="76" t="str">
        <f t="shared" si="0"/>
        <v>Hide</v>
      </c>
      <c r="C23" s="96" t="s">
        <v>44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hidden="1" customHeight="1" x14ac:dyDescent="0.25">
      <c r="B24" s="92" t="str">
        <f>IF(I24="","Hide","Show")</f>
        <v>Hide</v>
      </c>
      <c r="C24" s="74" t="s">
        <v>179</v>
      </c>
      <c r="D24" s="89" t="s">
        <v>179</v>
      </c>
      <c r="E24" s="89" t="s">
        <v>179</v>
      </c>
      <c r="F24" s="89" t="s">
        <v>179</v>
      </c>
      <c r="G24" s="91" t="s">
        <v>180</v>
      </c>
      <c r="H24" s="90" t="s">
        <v>179</v>
      </c>
      <c r="I24" s="89" t="s">
        <v>179</v>
      </c>
      <c r="J24" s="89" t="s">
        <v>179</v>
      </c>
      <c r="K24" s="88"/>
      <c r="L24" s="87"/>
      <c r="M24" s="87"/>
      <c r="N24" s="85" t="s">
        <v>179</v>
      </c>
      <c r="O24" s="85" t="s">
        <v>179</v>
      </c>
      <c r="P24" s="85" t="s">
        <v>179</v>
      </c>
      <c r="Q24" s="86" t="s">
        <v>56</v>
      </c>
    </row>
    <row r="25" spans="1:17" hidden="1" x14ac:dyDescent="0.25">
      <c r="B25" s="74" t="str">
        <f>B24</f>
        <v>Hide</v>
      </c>
      <c r="H25" s="85"/>
      <c r="I25" s="85"/>
    </row>
    <row r="26" spans="1:17" ht="15.75" hidden="1" thickBot="1" x14ac:dyDescent="0.3">
      <c r="B26" s="74" t="str">
        <f>+B25</f>
        <v>Hide</v>
      </c>
      <c r="D26" s="193" t="str">
        <f>+"END OF "&amp;D2</f>
        <v>END OF CARROLLTON FRIENDSHIP HOUSE  (026030P) - NO REF|EGGS</v>
      </c>
      <c r="E26" s="194"/>
      <c r="F26" s="194"/>
      <c r="G26" s="194"/>
      <c r="H26" s="194"/>
      <c r="I26" s="194"/>
      <c r="J26" s="194"/>
      <c r="K26" s="194"/>
      <c r="L26" s="194"/>
      <c r="M26" s="195"/>
    </row>
    <row r="27" spans="1:17" ht="15.75" thickBot="1" x14ac:dyDescent="0.3"/>
    <row r="28" spans="1:17" ht="80.099999999999994" customHeight="1" thickBot="1" x14ac:dyDescent="0.3">
      <c r="A28" s="76" t="s">
        <v>30</v>
      </c>
      <c r="D28" s="166" t="str">
        <f>+F6</f>
        <v>DELIVER</v>
      </c>
      <c r="E28" s="167"/>
      <c r="F28" s="167"/>
      <c r="G28" s="167"/>
      <c r="H28" s="167"/>
      <c r="I28" s="167"/>
      <c r="J28" s="167"/>
      <c r="K28" s="167"/>
      <c r="L28" s="167"/>
      <c r="M28" s="168"/>
    </row>
    <row r="29" spans="1:17" ht="36.75" x14ac:dyDescent="0.45">
      <c r="A29" s="76" t="s">
        <v>30</v>
      </c>
      <c r="D29" s="176" t="s">
        <v>12</v>
      </c>
      <c r="E29" s="177"/>
      <c r="F29" s="196" t="str">
        <f>+F4</f>
        <v>026030P</v>
      </c>
      <c r="G29" s="196"/>
      <c r="H29" s="196"/>
      <c r="I29" s="196"/>
      <c r="J29" s="196"/>
      <c r="K29" s="196"/>
      <c r="L29" s="196"/>
      <c r="M29" s="197"/>
    </row>
    <row r="30" spans="1:17" ht="37.5" customHeight="1" thickBot="1" x14ac:dyDescent="0.5">
      <c r="A30" s="76" t="s">
        <v>30</v>
      </c>
      <c r="D30" s="158" t="s">
        <v>5</v>
      </c>
      <c r="E30" s="159"/>
      <c r="F30" s="161" t="str">
        <f>+F5</f>
        <v>CARROLLTON FRIENDSHIP HOUSE</v>
      </c>
      <c r="G30" s="161"/>
      <c r="H30" s="161"/>
      <c r="I30" s="161"/>
      <c r="J30" s="161"/>
      <c r="K30" s="161"/>
      <c r="L30" s="161"/>
      <c r="M30" s="162"/>
      <c r="N30" s="84"/>
      <c r="O30" s="84"/>
      <c r="P30" s="84"/>
    </row>
    <row r="31" spans="1:17" ht="33.75" hidden="1" thickBot="1" x14ac:dyDescent="0.45">
      <c r="A31" s="76" t="s">
        <v>19</v>
      </c>
      <c r="D31" s="172" t="s">
        <v>49</v>
      </c>
      <c r="E31" s="173"/>
      <c r="F31" s="82"/>
      <c r="G31" s="83"/>
      <c r="H31" s="82"/>
      <c r="I31" s="82"/>
      <c r="J31" s="82"/>
      <c r="K31" s="82"/>
      <c r="L31" s="82"/>
      <c r="M31" s="81"/>
    </row>
    <row r="32" spans="1:17" ht="30" hidden="1" customHeight="1" x14ac:dyDescent="0.25">
      <c r="A32" s="76" t="s">
        <v>19</v>
      </c>
      <c r="D32" s="80"/>
      <c r="E32" s="78"/>
      <c r="F32" s="174" t="s">
        <v>1365</v>
      </c>
      <c r="G32" s="174"/>
      <c r="H32" s="174"/>
      <c r="I32" s="174"/>
      <c r="J32" s="174"/>
      <c r="K32" s="174"/>
      <c r="L32" s="174"/>
      <c r="M32" s="175"/>
    </row>
    <row r="33" spans="1:13" ht="15.75" hidden="1" customHeight="1" thickBot="1" x14ac:dyDescent="0.3">
      <c r="A33" s="76" t="s">
        <v>19</v>
      </c>
      <c r="D33" s="80"/>
      <c r="E33" s="78"/>
      <c r="F33" s="78"/>
      <c r="G33" s="79"/>
      <c r="H33" s="78"/>
      <c r="I33" s="78"/>
      <c r="J33" s="78"/>
      <c r="K33" s="78"/>
      <c r="L33" s="78"/>
      <c r="M33" s="77"/>
    </row>
    <row r="34" spans="1:13" ht="36.75" x14ac:dyDescent="0.45">
      <c r="A34" s="76" t="s">
        <v>30</v>
      </c>
      <c r="D34" s="176" t="s">
        <v>50</v>
      </c>
      <c r="E34" s="177"/>
      <c r="F34" s="178">
        <f>+F7</f>
        <v>42612</v>
      </c>
      <c r="G34" s="179"/>
      <c r="H34" s="179"/>
      <c r="I34" s="179"/>
      <c r="J34" s="179"/>
      <c r="K34" s="179"/>
      <c r="L34" s="179"/>
      <c r="M34" s="180"/>
    </row>
    <row r="35" spans="1:13" ht="37.5" thickBot="1" x14ac:dyDescent="0.5">
      <c r="A35" s="76" t="s">
        <v>30</v>
      </c>
      <c r="D35" s="158" t="s">
        <v>32</v>
      </c>
      <c r="E35" s="159"/>
      <c r="F35" s="160"/>
      <c r="G35" s="161"/>
      <c r="H35" s="161"/>
      <c r="I35" s="161"/>
      <c r="J35" s="161"/>
      <c r="K35" s="161"/>
      <c r="L35" s="161"/>
      <c r="M35" s="162"/>
    </row>
    <row r="36" spans="1:13" ht="80.099999999999994" customHeight="1" thickBot="1" x14ac:dyDescent="0.3">
      <c r="A36" s="76" t="s">
        <v>30</v>
      </c>
      <c r="D36" s="163" t="s">
        <v>51</v>
      </c>
      <c r="E36" s="164"/>
      <c r="F36" s="164"/>
      <c r="G36" s="164"/>
      <c r="H36" s="164"/>
      <c r="I36" s="164"/>
      <c r="J36" s="164"/>
      <c r="K36" s="164"/>
      <c r="L36" s="164"/>
      <c r="M36" s="165"/>
    </row>
    <row r="37" spans="1:13" ht="90" customHeight="1" thickBot="1" x14ac:dyDescent="0.3">
      <c r="A37" s="76" t="s">
        <v>30</v>
      </c>
      <c r="D37" s="166" t="str">
        <f>IF(F6="DELIVER",G6,F6)</f>
        <v>COLLIN 3</v>
      </c>
      <c r="E37" s="167"/>
      <c r="F37" s="167"/>
      <c r="G37" s="167"/>
      <c r="H37" s="167"/>
      <c r="I37" s="167"/>
      <c r="J37" s="167"/>
      <c r="K37" s="167"/>
      <c r="L37" s="167"/>
      <c r="M37" s="168"/>
    </row>
    <row r="38" spans="1:13" ht="60" customHeight="1" thickBot="1" x14ac:dyDescent="0.3">
      <c r="A38" s="76" t="s">
        <v>30</v>
      </c>
      <c r="D38" s="169" t="s">
        <v>55</v>
      </c>
      <c r="E38" s="170"/>
      <c r="F38" s="170"/>
      <c r="G38" s="170"/>
      <c r="H38" s="170"/>
      <c r="I38" s="170"/>
      <c r="J38" s="170"/>
      <c r="K38" s="170"/>
      <c r="L38" s="170"/>
      <c r="M38" s="171"/>
    </row>
  </sheetData>
  <mergeCells count="17">
    <mergeCell ref="D2:M2"/>
    <mergeCell ref="F15:M17"/>
    <mergeCell ref="D26:M26"/>
    <mergeCell ref="D28:M28"/>
    <mergeCell ref="D29:E29"/>
    <mergeCell ref="F29:M29"/>
    <mergeCell ref="D30:E30"/>
    <mergeCell ref="F30:M30"/>
    <mergeCell ref="D31:E31"/>
    <mergeCell ref="F32:M32"/>
    <mergeCell ref="D34:E34"/>
    <mergeCell ref="F34:M34"/>
    <mergeCell ref="D35:E35"/>
    <mergeCell ref="F35:M35"/>
    <mergeCell ref="D36:M36"/>
    <mergeCell ref="D37:M37"/>
    <mergeCell ref="D38:M38"/>
  </mergeCells>
  <conditionalFormatting sqref="F6">
    <cfRule type="cellIs" dxfId="289" priority="5" operator="equal">
      <formula>"DELIVER"</formula>
    </cfRule>
  </conditionalFormatting>
  <conditionalFormatting sqref="D28">
    <cfRule type="cellIs" dxfId="288" priority="4" operator="equal">
      <formula>"DELIVER"</formula>
    </cfRule>
  </conditionalFormatting>
  <conditionalFormatting sqref="D2:M2">
    <cfRule type="expression" dxfId="287" priority="3">
      <formula>$F$6="DELIVER"</formula>
    </cfRule>
  </conditionalFormatting>
  <conditionalFormatting sqref="G6">
    <cfRule type="expression" dxfId="286" priority="2">
      <formula>$F$6="DELIVER"</formula>
    </cfRule>
  </conditionalFormatting>
  <conditionalFormatting sqref="D37">
    <cfRule type="expression" dxfId="28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1665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>HIDESHEET</v>
      </c>
      <c r="C2" s="74" t="s">
        <v>7</v>
      </c>
      <c r="D2" s="181" t="str">
        <f>IF(E24="",F5&amp;"  ("&amp;F4&amp;") - NO "&amp;C23,F5&amp;"  ("&amp;F4&amp;") - "&amp;C23&amp;" PICK LIST")</f>
        <v>CATHOLIC CHARITIES OF DALLAS  (026056P5)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"026056P5"</f>
        <v>026056P5</v>
      </c>
      <c r="E4" s="101" t="s">
        <v>37</v>
      </c>
      <c r="F4" s="105" t="str">
        <f>C4</f>
        <v>026056P5</v>
      </c>
      <c r="K4" s="101" t="s">
        <v>42</v>
      </c>
      <c r="L4" s="104"/>
      <c r="M4" s="111">
        <f>SUM(I24:I25)</f>
        <v>0</v>
      </c>
    </row>
    <row r="5" spans="1:26" ht="18" hidden="1" customHeight="1" x14ac:dyDescent="0.25">
      <c r="B5" s="76" t="str">
        <f t="shared" si="0"/>
        <v>Hide</v>
      </c>
      <c r="C5" s="109" t="s">
        <v>1380</v>
      </c>
      <c r="E5" s="101" t="s">
        <v>36</v>
      </c>
      <c r="F5" s="112" t="s">
        <v>1184</v>
      </c>
      <c r="K5" s="101" t="s">
        <v>43</v>
      </c>
      <c r="L5" s="104"/>
      <c r="M5" s="111">
        <f>ROUND(SUM(O24:O25),0)</f>
        <v>0</v>
      </c>
    </row>
    <row r="6" spans="1:26" ht="18" hidden="1" customHeight="1" x14ac:dyDescent="0.25">
      <c r="B6" s="76" t="str">
        <f t="shared" si="0"/>
        <v>Hide</v>
      </c>
      <c r="C6" s="109" t="s">
        <v>1384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ROUND(COUNT(O24:O25),0)</f>
        <v>0</v>
      </c>
      <c r="P6" s="101"/>
      <c r="W6" s="101" t="str">
        <f>"ESTIMATED "&amp;O23&amp;"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E14</f>
        <v>A108413|A108413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F14</f>
        <v>ITPN-207502|ITPN-207502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 t="shared" si="0"/>
        <v>Hide</v>
      </c>
      <c r="C12" s="74" t="s">
        <v>1380</v>
      </c>
      <c r="E12" s="74" t="s">
        <v>1379</v>
      </c>
      <c r="F12" s="74" t="s">
        <v>1381</v>
      </c>
      <c r="I12" s="98"/>
      <c r="J12" s="98"/>
      <c r="K12" s="98"/>
      <c r="L12" s="98"/>
      <c r="M12" s="98"/>
    </row>
    <row r="13" spans="1:26" hidden="1" x14ac:dyDescent="0.25">
      <c r="A13" s="74" t="s">
        <v>6</v>
      </c>
      <c r="B13" s="76" t="str">
        <f t="shared" si="0"/>
        <v>Hide</v>
      </c>
      <c r="C13" s="74" t="s">
        <v>1379</v>
      </c>
      <c r="E13" s="74" t="str">
        <f>E12</f>
        <v>A108413</v>
      </c>
      <c r="F13" s="74" t="str">
        <f>F12</f>
        <v>ITPN-207502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si="0"/>
        <v>Hide</v>
      </c>
      <c r="E14" s="92" t="s">
        <v>1382</v>
      </c>
      <c r="F14" s="92" t="s">
        <v>1383</v>
      </c>
      <c r="I14" s="98"/>
      <c r="J14" s="98"/>
      <c r="K14" s="98"/>
      <c r="L14" s="98"/>
      <c r="M14" s="98"/>
    </row>
    <row r="15" spans="1:26" hidden="1" x14ac:dyDescent="0.25">
      <c r="B15" s="76" t="str">
        <f t="shared" si="0"/>
        <v>Hide</v>
      </c>
      <c r="E15" s="101" t="s">
        <v>20</v>
      </c>
      <c r="F15" s="184" t="s">
        <v>179</v>
      </c>
      <c r="G15" s="185"/>
      <c r="H15" s="185"/>
      <c r="I15" s="185"/>
      <c r="J15" s="185"/>
      <c r="K15" s="185"/>
      <c r="L15" s="185"/>
      <c r="M15" s="186"/>
    </row>
    <row r="16" spans="1:26" hidden="1" x14ac:dyDescent="0.25">
      <c r="B16" s="76" t="str">
        <f t="shared" si="0"/>
        <v>Hide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hidden="1" thickBot="1" x14ac:dyDescent="0.3">
      <c r="B17" s="76" t="str">
        <f t="shared" si="0"/>
        <v>Hide</v>
      </c>
      <c r="F17" s="190"/>
      <c r="G17" s="191"/>
      <c r="H17" s="191"/>
      <c r="I17" s="191"/>
      <c r="J17" s="191"/>
      <c r="K17" s="191"/>
      <c r="L17" s="191"/>
      <c r="M17" s="192"/>
    </row>
    <row r="18" spans="1:17" hidden="1" x14ac:dyDescent="0.25">
      <c r="B18" s="76" t="str">
        <f t="shared" si="0"/>
        <v>Hide</v>
      </c>
    </row>
    <row r="19" spans="1:17" hidden="1" x14ac:dyDescent="0.25">
      <c r="B19" s="76" t="str">
        <f t="shared" si="0"/>
        <v>Hide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hidden="1" x14ac:dyDescent="0.25">
      <c r="B20" s="76" t="str">
        <f t="shared" si="0"/>
        <v>Hide</v>
      </c>
      <c r="E20" s="101"/>
    </row>
    <row r="21" spans="1:17" hidden="1" x14ac:dyDescent="0.25">
      <c r="B21" s="76" t="str">
        <f t="shared" si="0"/>
        <v>Hide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hidden="1" x14ac:dyDescent="0.25">
      <c r="B22" s="76" t="str">
        <f t="shared" si="0"/>
        <v>Hide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hidden="1" customHeight="1" x14ac:dyDescent="0.25">
      <c r="A23" s="97"/>
      <c r="B23" s="76" t="str">
        <f t="shared" si="0"/>
        <v>Hide</v>
      </c>
      <c r="C23" s="96" t="s">
        <v>44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hidden="1" customHeight="1" x14ac:dyDescent="0.25">
      <c r="B24" s="92" t="str">
        <f>IF(I24="","Hide","Show")</f>
        <v>Hide</v>
      </c>
      <c r="C24" s="74" t="s">
        <v>179</v>
      </c>
      <c r="D24" s="89" t="s">
        <v>179</v>
      </c>
      <c r="E24" s="89" t="s">
        <v>179</v>
      </c>
      <c r="F24" s="89" t="s">
        <v>179</v>
      </c>
      <c r="G24" s="91" t="s">
        <v>180</v>
      </c>
      <c r="H24" s="90" t="s">
        <v>179</v>
      </c>
      <c r="I24" s="89" t="s">
        <v>179</v>
      </c>
      <c r="J24" s="89" t="s">
        <v>179</v>
      </c>
      <c r="K24" s="88"/>
      <c r="L24" s="87"/>
      <c r="M24" s="87"/>
      <c r="N24" s="85" t="s">
        <v>179</v>
      </c>
      <c r="O24" s="85" t="s">
        <v>179</v>
      </c>
      <c r="P24" s="85" t="s">
        <v>179</v>
      </c>
      <c r="Q24" s="86" t="s">
        <v>56</v>
      </c>
    </row>
    <row r="25" spans="1:17" hidden="1" x14ac:dyDescent="0.25">
      <c r="B25" s="74" t="str">
        <f>B24</f>
        <v>Hide</v>
      </c>
      <c r="H25" s="85"/>
      <c r="I25" s="85"/>
    </row>
    <row r="26" spans="1:17" ht="15.75" hidden="1" thickBot="1" x14ac:dyDescent="0.3">
      <c r="B26" s="74" t="str">
        <f>+B25</f>
        <v>Hide</v>
      </c>
      <c r="D26" s="193" t="str">
        <f>+"END OF "&amp;D2</f>
        <v>END OF CATHOLIC CHARITIES OF DALLAS  (026056P5) - NO REF|EGGS</v>
      </c>
      <c r="E26" s="194"/>
      <c r="F26" s="194"/>
      <c r="G26" s="194"/>
      <c r="H26" s="194"/>
      <c r="I26" s="194"/>
      <c r="J26" s="194"/>
      <c r="K26" s="194"/>
      <c r="L26" s="194"/>
      <c r="M26" s="195"/>
    </row>
    <row r="27" spans="1:17" ht="15.75" thickBot="1" x14ac:dyDescent="0.3"/>
    <row r="28" spans="1:17" ht="80.099999999999994" customHeight="1" thickBot="1" x14ac:dyDescent="0.3">
      <c r="A28" s="76" t="s">
        <v>30</v>
      </c>
      <c r="D28" s="166" t="str">
        <f>+F6</f>
        <v>PICKUP</v>
      </c>
      <c r="E28" s="167"/>
      <c r="F28" s="167"/>
      <c r="G28" s="167"/>
      <c r="H28" s="167"/>
      <c r="I28" s="167"/>
      <c r="J28" s="167"/>
      <c r="K28" s="167"/>
      <c r="L28" s="167"/>
      <c r="M28" s="168"/>
    </row>
    <row r="29" spans="1:17" ht="36.75" x14ac:dyDescent="0.45">
      <c r="A29" s="76" t="s">
        <v>30</v>
      </c>
      <c r="D29" s="176" t="s">
        <v>12</v>
      </c>
      <c r="E29" s="177"/>
      <c r="F29" s="196" t="str">
        <f>+F4</f>
        <v>026056P5</v>
      </c>
      <c r="G29" s="196"/>
      <c r="H29" s="196"/>
      <c r="I29" s="196"/>
      <c r="J29" s="196"/>
      <c r="K29" s="196"/>
      <c r="L29" s="196"/>
      <c r="M29" s="197"/>
    </row>
    <row r="30" spans="1:17" ht="37.5" customHeight="1" thickBot="1" x14ac:dyDescent="0.5">
      <c r="A30" s="76" t="s">
        <v>30</v>
      </c>
      <c r="D30" s="158" t="s">
        <v>5</v>
      </c>
      <c r="E30" s="159"/>
      <c r="F30" s="161" t="str">
        <f>+F5</f>
        <v>CATHOLIC CHARITIES OF DALLAS</v>
      </c>
      <c r="G30" s="161"/>
      <c r="H30" s="161"/>
      <c r="I30" s="161"/>
      <c r="J30" s="161"/>
      <c r="K30" s="161"/>
      <c r="L30" s="161"/>
      <c r="M30" s="162"/>
      <c r="N30" s="84"/>
      <c r="O30" s="84"/>
      <c r="P30" s="84"/>
    </row>
    <row r="31" spans="1:17" ht="33.75" hidden="1" thickBot="1" x14ac:dyDescent="0.45">
      <c r="A31" s="76" t="s">
        <v>19</v>
      </c>
      <c r="D31" s="172" t="s">
        <v>49</v>
      </c>
      <c r="E31" s="173"/>
      <c r="F31" s="82"/>
      <c r="G31" s="83"/>
      <c r="H31" s="82"/>
      <c r="I31" s="82"/>
      <c r="J31" s="82"/>
      <c r="K31" s="82"/>
      <c r="L31" s="82"/>
      <c r="M31" s="81"/>
    </row>
    <row r="32" spans="1:17" ht="30" hidden="1" customHeight="1" x14ac:dyDescent="0.25">
      <c r="A32" s="76" t="s">
        <v>19</v>
      </c>
      <c r="D32" s="80"/>
      <c r="E32" s="78"/>
      <c r="F32" s="174" t="s">
        <v>1379</v>
      </c>
      <c r="G32" s="174"/>
      <c r="H32" s="174"/>
      <c r="I32" s="174"/>
      <c r="J32" s="174"/>
      <c r="K32" s="174"/>
      <c r="L32" s="174"/>
      <c r="M32" s="175"/>
    </row>
    <row r="33" spans="1:13" ht="15.75" hidden="1" customHeight="1" thickBot="1" x14ac:dyDescent="0.3">
      <c r="A33" s="76" t="s">
        <v>19</v>
      </c>
      <c r="D33" s="80"/>
      <c r="E33" s="78"/>
      <c r="F33" s="78"/>
      <c r="G33" s="79"/>
      <c r="H33" s="78"/>
      <c r="I33" s="78"/>
      <c r="J33" s="78"/>
      <c r="K33" s="78"/>
      <c r="L33" s="78"/>
      <c r="M33" s="77"/>
    </row>
    <row r="34" spans="1:13" ht="36.75" x14ac:dyDescent="0.45">
      <c r="A34" s="76" t="s">
        <v>30</v>
      </c>
      <c r="D34" s="176" t="s">
        <v>50</v>
      </c>
      <c r="E34" s="177"/>
      <c r="F34" s="178">
        <f>+F7</f>
        <v>42612</v>
      </c>
      <c r="G34" s="179"/>
      <c r="H34" s="179"/>
      <c r="I34" s="179"/>
      <c r="J34" s="179"/>
      <c r="K34" s="179"/>
      <c r="L34" s="179"/>
      <c r="M34" s="180"/>
    </row>
    <row r="35" spans="1:13" ht="37.5" thickBot="1" x14ac:dyDescent="0.5">
      <c r="A35" s="76" t="s">
        <v>30</v>
      </c>
      <c r="D35" s="158" t="s">
        <v>32</v>
      </c>
      <c r="E35" s="159"/>
      <c r="F35" s="160"/>
      <c r="G35" s="161"/>
      <c r="H35" s="161"/>
      <c r="I35" s="161"/>
      <c r="J35" s="161"/>
      <c r="K35" s="161"/>
      <c r="L35" s="161"/>
      <c r="M35" s="162"/>
    </row>
    <row r="36" spans="1:13" ht="80.099999999999994" customHeight="1" thickBot="1" x14ac:dyDescent="0.3">
      <c r="A36" s="76" t="s">
        <v>30</v>
      </c>
      <c r="D36" s="163" t="s">
        <v>51</v>
      </c>
      <c r="E36" s="164"/>
      <c r="F36" s="164"/>
      <c r="G36" s="164"/>
      <c r="H36" s="164"/>
      <c r="I36" s="164"/>
      <c r="J36" s="164"/>
      <c r="K36" s="164"/>
      <c r="L36" s="164"/>
      <c r="M36" s="165"/>
    </row>
    <row r="37" spans="1:13" ht="90" customHeight="1" thickBot="1" x14ac:dyDescent="0.3">
      <c r="A37" s="76" t="s">
        <v>30</v>
      </c>
      <c r="D37" s="166" t="str">
        <f>IF(F6="DELIVER",G6,F6)</f>
        <v>PICKUP</v>
      </c>
      <c r="E37" s="167"/>
      <c r="F37" s="167"/>
      <c r="G37" s="167"/>
      <c r="H37" s="167"/>
      <c r="I37" s="167"/>
      <c r="J37" s="167"/>
      <c r="K37" s="167"/>
      <c r="L37" s="167"/>
      <c r="M37" s="168"/>
    </row>
    <row r="38" spans="1:13" ht="60" customHeight="1" thickBot="1" x14ac:dyDescent="0.3">
      <c r="A38" s="76" t="s">
        <v>30</v>
      </c>
      <c r="D38" s="169" t="s">
        <v>55</v>
      </c>
      <c r="E38" s="170"/>
      <c r="F38" s="170"/>
      <c r="G38" s="170"/>
      <c r="H38" s="170"/>
      <c r="I38" s="170"/>
      <c r="J38" s="170"/>
      <c r="K38" s="170"/>
      <c r="L38" s="170"/>
      <c r="M38" s="171"/>
    </row>
  </sheetData>
  <mergeCells count="17">
    <mergeCell ref="D2:M2"/>
    <mergeCell ref="F15:M17"/>
    <mergeCell ref="D26:M26"/>
    <mergeCell ref="D28:M28"/>
    <mergeCell ref="D29:E29"/>
    <mergeCell ref="F29:M29"/>
    <mergeCell ref="D30:E30"/>
    <mergeCell ref="F30:M30"/>
    <mergeCell ref="D31:E31"/>
    <mergeCell ref="F32:M32"/>
    <mergeCell ref="D34:E34"/>
    <mergeCell ref="F34:M34"/>
    <mergeCell ref="D35:E35"/>
    <mergeCell ref="F35:M35"/>
    <mergeCell ref="D36:M36"/>
    <mergeCell ref="D37:M37"/>
    <mergeCell ref="D38:M38"/>
  </mergeCells>
  <conditionalFormatting sqref="F6">
    <cfRule type="cellIs" dxfId="284" priority="5" operator="equal">
      <formula>"DELIVER"</formula>
    </cfRule>
  </conditionalFormatting>
  <conditionalFormatting sqref="D28">
    <cfRule type="cellIs" dxfId="283" priority="4" operator="equal">
      <formula>"DELIVER"</formula>
    </cfRule>
  </conditionalFormatting>
  <conditionalFormatting sqref="D2:M2">
    <cfRule type="expression" dxfId="282" priority="3">
      <formula>$F$6="DELIVER"</formula>
    </cfRule>
  </conditionalFormatting>
  <conditionalFormatting sqref="G6">
    <cfRule type="expression" dxfId="281" priority="2">
      <formula>$F$6="DELIVER"</formula>
    </cfRule>
  </conditionalFormatting>
  <conditionalFormatting sqref="D37">
    <cfRule type="expression" dxfId="28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1667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>HIDESHEET</v>
      </c>
      <c r="C2" s="74" t="s">
        <v>7</v>
      </c>
      <c r="D2" s="181" t="str">
        <f>IF(E26="",F5&amp;"  ("&amp;F4&amp;") - NO "&amp;C25,F5&amp;"  ("&amp;F4&amp;") - "&amp;C25&amp;" PICK LIST")</f>
        <v>HOMEWARD BOUND TRINITY CENTER  (026066RA1)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"026066RA1"</f>
        <v>026066RA1</v>
      </c>
      <c r="E4" s="101" t="s">
        <v>37</v>
      </c>
      <c r="F4" s="105" t="str">
        <f>C4</f>
        <v>026066RA1</v>
      </c>
      <c r="K4" s="101" t="s">
        <v>42</v>
      </c>
      <c r="L4" s="104"/>
      <c r="M4" s="111">
        <f>SUM(I26:I27)</f>
        <v>0</v>
      </c>
    </row>
    <row r="5" spans="1:26" ht="18" hidden="1" customHeight="1" x14ac:dyDescent="0.25">
      <c r="B5" s="76" t="str">
        <f t="shared" si="0"/>
        <v>Hide</v>
      </c>
      <c r="C5" s="109" t="s">
        <v>1396</v>
      </c>
      <c r="E5" s="101" t="s">
        <v>36</v>
      </c>
      <c r="F5" s="112" t="s">
        <v>732</v>
      </c>
      <c r="K5" s="101" t="s">
        <v>43</v>
      </c>
      <c r="L5" s="104"/>
      <c r="M5" s="111">
        <f>ROUND(SUM(O26:O27),0)</f>
        <v>0</v>
      </c>
    </row>
    <row r="6" spans="1:26" ht="18" hidden="1" customHeight="1" x14ac:dyDescent="0.25">
      <c r="B6" s="76" t="str">
        <f t="shared" si="0"/>
        <v>Hide</v>
      </c>
      <c r="C6" s="109" t="s">
        <v>1397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ROUND(COUNT(O26:O27),0)</f>
        <v>0</v>
      </c>
      <c r="P6" s="101"/>
      <c r="W6" s="101" t="str">
        <f>"ESTIMATED "&amp;O25&amp;"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E16</f>
        <v>A108374|A108374|A108374|A108374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F16</f>
        <v>ITPN-207488|ITPN-207489|ITPN-207491|ITPN-207488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B15</f>
        <v>Hide</v>
      </c>
      <c r="C12" s="74" t="s">
        <v>1398</v>
      </c>
      <c r="E12" s="74" t="s">
        <v>1387</v>
      </c>
      <c r="F12" s="74" t="s">
        <v>1391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4" si="1">B16</f>
        <v>Hide</v>
      </c>
      <c r="C13" s="74" t="str">
        <f>"""Ceres NTFB Live"",""NTFB Live"",""5766"",""1"",""Invt. Pick"",""2"",""ITPN-207489"""</f>
        <v>"Ceres NTFB Live","NTFB Live","5766","1","Invt. Pick","2","ITPN-207489"</v>
      </c>
      <c r="E13" s="74" t="s">
        <v>1387</v>
      </c>
      <c r="F13" s="74" t="s">
        <v>1392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Pick"",""2"",""ITPN-207491"""</f>
        <v>"Ceres NTFB Live","NTFB Live","5766","1","Invt. Pick","2","ITPN-207491"</v>
      </c>
      <c r="E14" s="74" t="s">
        <v>1387</v>
      </c>
      <c r="F14" s="74" t="s">
        <v>1393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ref="B15:B25" si="2">B16</f>
        <v>Hide</v>
      </c>
      <c r="C15" s="74" t="s">
        <v>1387</v>
      </c>
      <c r="E15" s="74" t="str">
        <f>E12</f>
        <v>A108374</v>
      </c>
      <c r="F15" s="74" t="str">
        <f>F12</f>
        <v>ITPN-207488</v>
      </c>
      <c r="I15" s="98"/>
      <c r="J15" s="98"/>
      <c r="K15" s="98"/>
      <c r="L15" s="98"/>
      <c r="M15" s="98"/>
    </row>
    <row r="16" spans="1:26" hidden="1" x14ac:dyDescent="0.25">
      <c r="A16" s="74" t="s">
        <v>6</v>
      </c>
      <c r="B16" s="76" t="str">
        <f t="shared" si="2"/>
        <v>Hide</v>
      </c>
      <c r="E16" s="92" t="s">
        <v>1394</v>
      </c>
      <c r="F16" s="92" t="s">
        <v>1395</v>
      </c>
      <c r="I16" s="98"/>
      <c r="J16" s="98"/>
      <c r="K16" s="98"/>
      <c r="L16" s="98"/>
      <c r="M16" s="98"/>
    </row>
    <row r="17" spans="1:17" hidden="1" x14ac:dyDescent="0.25">
      <c r="B17" s="76" t="str">
        <f t="shared" si="2"/>
        <v>Hide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hidden="1" x14ac:dyDescent="0.25">
      <c r="B18" s="76" t="str">
        <f t="shared" si="2"/>
        <v>Hide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hidden="1" thickBot="1" x14ac:dyDescent="0.3">
      <c r="B19" s="76" t="str">
        <f t="shared" si="2"/>
        <v>Hide</v>
      </c>
      <c r="F19" s="190"/>
      <c r="G19" s="191"/>
      <c r="H19" s="191"/>
      <c r="I19" s="191"/>
      <c r="J19" s="191"/>
      <c r="K19" s="191"/>
      <c r="L19" s="191"/>
      <c r="M19" s="192"/>
    </row>
    <row r="20" spans="1:17" hidden="1" x14ac:dyDescent="0.25">
      <c r="B20" s="76" t="str">
        <f t="shared" si="2"/>
        <v>Hide</v>
      </c>
    </row>
    <row r="21" spans="1:17" hidden="1" x14ac:dyDescent="0.25">
      <c r="B21" s="76" t="str">
        <f t="shared" si="2"/>
        <v>Hide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hidden="1" x14ac:dyDescent="0.25">
      <c r="B22" s="76" t="str">
        <f t="shared" si="2"/>
        <v>Hide</v>
      </c>
      <c r="E22" s="101"/>
    </row>
    <row r="23" spans="1:17" hidden="1" x14ac:dyDescent="0.25">
      <c r="B23" s="76" t="str">
        <f t="shared" si="2"/>
        <v>Hide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hidden="1" x14ac:dyDescent="0.25">
      <c r="B24" s="76" t="str">
        <f t="shared" si="2"/>
        <v>Hide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hidden="1" customHeight="1" x14ac:dyDescent="0.25">
      <c r="A25" s="97"/>
      <c r="B25" s="76" t="str">
        <f t="shared" si="2"/>
        <v>Hide</v>
      </c>
      <c r="C25" s="96" t="s">
        <v>44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hidden="1" customHeight="1" x14ac:dyDescent="0.25">
      <c r="B26" s="92" t="str">
        <f>IF(I26="","Hide","Show")</f>
        <v>Hide</v>
      </c>
      <c r="C26" s="74" t="s">
        <v>179</v>
      </c>
      <c r="D26" s="89" t="s">
        <v>179</v>
      </c>
      <c r="E26" s="89" t="s">
        <v>179</v>
      </c>
      <c r="F26" s="89" t="s">
        <v>179</v>
      </c>
      <c r="G26" s="91" t="s">
        <v>180</v>
      </c>
      <c r="H26" s="90" t="s">
        <v>179</v>
      </c>
      <c r="I26" s="89" t="s">
        <v>179</v>
      </c>
      <c r="J26" s="89" t="s">
        <v>179</v>
      </c>
      <c r="K26" s="88"/>
      <c r="L26" s="87"/>
      <c r="M26" s="87"/>
      <c r="N26" s="85" t="s">
        <v>179</v>
      </c>
      <c r="O26" s="85" t="s">
        <v>179</v>
      </c>
      <c r="P26" s="85" t="s">
        <v>179</v>
      </c>
      <c r="Q26" s="86" t="s">
        <v>56</v>
      </c>
    </row>
    <row r="27" spans="1:17" hidden="1" x14ac:dyDescent="0.25">
      <c r="B27" s="74" t="str">
        <f>B26</f>
        <v>Hide</v>
      </c>
      <c r="H27" s="85"/>
      <c r="I27" s="85"/>
    </row>
    <row r="28" spans="1:17" ht="15.75" hidden="1" thickBot="1" x14ac:dyDescent="0.3">
      <c r="B28" s="74" t="str">
        <f>+B27</f>
        <v>Hide</v>
      </c>
      <c r="D28" s="193" t="str">
        <f>+"END OF "&amp;D2</f>
        <v>END OF HOMEWARD BOUND TRINITY CENTER  (026066RA1) - NO REF|EGGS</v>
      </c>
      <c r="E28" s="194"/>
      <c r="F28" s="194"/>
      <c r="G28" s="194"/>
      <c r="H28" s="194"/>
      <c r="I28" s="194"/>
      <c r="J28" s="194"/>
      <c r="K28" s="194"/>
      <c r="L28" s="194"/>
      <c r="M28" s="195"/>
    </row>
    <row r="29" spans="1:17" ht="15.75" thickBot="1" x14ac:dyDescent="0.3"/>
    <row r="30" spans="1:17" ht="80.099999999999994" customHeight="1" thickBot="1" x14ac:dyDescent="0.3">
      <c r="A30" s="76" t="s">
        <v>30</v>
      </c>
      <c r="D30" s="166" t="str">
        <f>+F6</f>
        <v>PICKUP</v>
      </c>
      <c r="E30" s="167"/>
      <c r="F30" s="167"/>
      <c r="G30" s="167"/>
      <c r="H30" s="167"/>
      <c r="I30" s="167"/>
      <c r="J30" s="167"/>
      <c r="K30" s="167"/>
      <c r="L30" s="167"/>
      <c r="M30" s="168"/>
    </row>
    <row r="31" spans="1:17" ht="36.75" x14ac:dyDescent="0.45">
      <c r="A31" s="76" t="s">
        <v>30</v>
      </c>
      <c r="D31" s="176" t="s">
        <v>12</v>
      </c>
      <c r="E31" s="177"/>
      <c r="F31" s="196" t="str">
        <f>+F4</f>
        <v>026066RA1</v>
      </c>
      <c r="G31" s="196"/>
      <c r="H31" s="196"/>
      <c r="I31" s="196"/>
      <c r="J31" s="196"/>
      <c r="K31" s="196"/>
      <c r="L31" s="196"/>
      <c r="M31" s="197"/>
    </row>
    <row r="32" spans="1:17" ht="37.5" customHeight="1" thickBot="1" x14ac:dyDescent="0.5">
      <c r="A32" s="76" t="s">
        <v>30</v>
      </c>
      <c r="D32" s="158" t="s">
        <v>5</v>
      </c>
      <c r="E32" s="159"/>
      <c r="F32" s="161" t="str">
        <f>+F5</f>
        <v>HOMEWARD BOUND TRINITY CENTER</v>
      </c>
      <c r="G32" s="161"/>
      <c r="H32" s="161"/>
      <c r="I32" s="161"/>
      <c r="J32" s="161"/>
      <c r="K32" s="161"/>
      <c r="L32" s="161"/>
      <c r="M32" s="162"/>
      <c r="N32" s="84"/>
      <c r="O32" s="84"/>
      <c r="P32" s="84"/>
    </row>
    <row r="33" spans="1:13" ht="33.75" hidden="1" thickBot="1" x14ac:dyDescent="0.45">
      <c r="A33" s="76" t="s">
        <v>19</v>
      </c>
      <c r="D33" s="172" t="s">
        <v>49</v>
      </c>
      <c r="E33" s="173"/>
      <c r="F33" s="82"/>
      <c r="G33" s="83"/>
      <c r="H33" s="82"/>
      <c r="I33" s="82"/>
      <c r="J33" s="82"/>
      <c r="K33" s="82"/>
      <c r="L33" s="82"/>
      <c r="M33" s="81"/>
    </row>
    <row r="34" spans="1:13" ht="30" hidden="1" customHeight="1" x14ac:dyDescent="0.25">
      <c r="A34" s="76" t="s">
        <v>19</v>
      </c>
      <c r="D34" s="80"/>
      <c r="E34" s="78"/>
      <c r="F34" s="174" t="s">
        <v>1387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>PICKUP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7">
    <mergeCell ref="D2:M2"/>
    <mergeCell ref="F17:M19"/>
    <mergeCell ref="D28:M28"/>
    <mergeCell ref="D30:M30"/>
    <mergeCell ref="D31:E31"/>
    <mergeCell ref="F31:M31"/>
    <mergeCell ref="D32:E32"/>
    <mergeCell ref="F32:M32"/>
    <mergeCell ref="D33:E33"/>
    <mergeCell ref="F34:M34"/>
    <mergeCell ref="D36:E36"/>
    <mergeCell ref="F36:M36"/>
    <mergeCell ref="D37:E37"/>
    <mergeCell ref="F37:M37"/>
    <mergeCell ref="D38:M38"/>
    <mergeCell ref="D39:M39"/>
    <mergeCell ref="D40:M40"/>
  </mergeCells>
  <conditionalFormatting sqref="F6">
    <cfRule type="cellIs" dxfId="279" priority="5" operator="equal">
      <formula>"DELIVER"</formula>
    </cfRule>
  </conditionalFormatting>
  <conditionalFormatting sqref="D30">
    <cfRule type="cellIs" dxfId="278" priority="4" operator="equal">
      <formula>"DELIVER"</formula>
    </cfRule>
  </conditionalFormatting>
  <conditionalFormatting sqref="D2:M2">
    <cfRule type="expression" dxfId="277" priority="3">
      <formula>$F$6="DELIVER"</formula>
    </cfRule>
  </conditionalFormatting>
  <conditionalFormatting sqref="G6">
    <cfRule type="expression" dxfId="276" priority="2">
      <formula>$F$6="DELIVER"</formula>
    </cfRule>
  </conditionalFormatting>
  <conditionalFormatting sqref="D39">
    <cfRule type="expression" dxfId="27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8" max="16383" man="1"/>
  </rowBreak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1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1669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>HIDESHEET</v>
      </c>
      <c r="C2" s="74" t="s">
        <v>7</v>
      </c>
      <c r="D2" s="181" t="str">
        <f>IF(E26="",F5&amp;"  ("&amp;F4&amp;") - NO "&amp;C25,F5&amp;"  ("&amp;F4&amp;") - "&amp;C25&amp;" PICK LIST")</f>
        <v>FBC ALLEN FOOD PANTRY  (026077P)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"026077P"</f>
        <v>026077P</v>
      </c>
      <c r="E4" s="101" t="s">
        <v>37</v>
      </c>
      <c r="F4" s="105" t="str">
        <f>C4</f>
        <v>026077P</v>
      </c>
      <c r="K4" s="101" t="s">
        <v>42</v>
      </c>
      <c r="L4" s="104"/>
      <c r="M4" s="111">
        <f>SUM(I26:I27)</f>
        <v>0</v>
      </c>
    </row>
    <row r="5" spans="1:26" ht="18" hidden="1" customHeight="1" x14ac:dyDescent="0.25">
      <c r="B5" s="76" t="str">
        <f t="shared" si="0"/>
        <v>Hide</v>
      </c>
      <c r="C5" s="109" t="s">
        <v>1414</v>
      </c>
      <c r="E5" s="101" t="s">
        <v>36</v>
      </c>
      <c r="F5" s="112" t="s">
        <v>1175</v>
      </c>
      <c r="K5" s="101" t="s">
        <v>43</v>
      </c>
      <c r="L5" s="104"/>
      <c r="M5" s="111">
        <f>ROUND(SUM(O26:O27),0)</f>
        <v>0</v>
      </c>
    </row>
    <row r="6" spans="1:26" ht="18" hidden="1" customHeight="1" x14ac:dyDescent="0.25">
      <c r="B6" s="76" t="str">
        <f t="shared" si="0"/>
        <v>Hide</v>
      </c>
      <c r="C6" s="109" t="s">
        <v>1415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ROUND(COUNT(O26:O27),0)</f>
        <v>0</v>
      </c>
      <c r="P6" s="101"/>
      <c r="W6" s="101" t="str">
        <f>"ESTIMATED "&amp;O25&amp;"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E16</f>
        <v>A108014|A108014|A108248|A108014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F16</f>
        <v>ITPN-207441|ITPN-207442|ITPN-207462|ITPN-207441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B15</f>
        <v>Hide</v>
      </c>
      <c r="C12" s="74" t="s">
        <v>1416</v>
      </c>
      <c r="E12" s="74" t="s">
        <v>1400</v>
      </c>
      <c r="F12" s="74" t="s">
        <v>1408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4" si="1">B16</f>
        <v>Hide</v>
      </c>
      <c r="C13" s="74" t="str">
        <f>"""Ceres NTFB Live"",""NTFB Live"",""5766"",""1"",""Invt. Pick"",""2"",""ITPN-207442"""</f>
        <v>"Ceres NTFB Live","NTFB Live","5766","1","Invt. Pick","2","ITPN-207442"</v>
      </c>
      <c r="E13" s="74" t="s">
        <v>1400</v>
      </c>
      <c r="F13" s="74" t="s">
        <v>1409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Pick"",""2"",""ITPN-207462"""</f>
        <v>"Ceres NTFB Live","NTFB Live","5766","1","Invt. Pick","2","ITPN-207462"</v>
      </c>
      <c r="E14" s="74" t="s">
        <v>1410</v>
      </c>
      <c r="F14" s="74" t="s">
        <v>1411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ref="B15:B25" si="2">B16</f>
        <v>Hide</v>
      </c>
      <c r="C15" s="74" t="s">
        <v>1400</v>
      </c>
      <c r="E15" s="74" t="str">
        <f>E12</f>
        <v>A108014</v>
      </c>
      <c r="F15" s="74" t="str">
        <f>F12</f>
        <v>ITPN-207441</v>
      </c>
      <c r="I15" s="98"/>
      <c r="J15" s="98"/>
      <c r="K15" s="98"/>
      <c r="L15" s="98"/>
      <c r="M15" s="98"/>
    </row>
    <row r="16" spans="1:26" hidden="1" x14ac:dyDescent="0.25">
      <c r="A16" s="74" t="s">
        <v>6</v>
      </c>
      <c r="B16" s="76" t="str">
        <f t="shared" si="2"/>
        <v>Hide</v>
      </c>
      <c r="E16" s="92" t="s">
        <v>1412</v>
      </c>
      <c r="F16" s="92" t="s">
        <v>1413</v>
      </c>
      <c r="I16" s="98"/>
      <c r="J16" s="98"/>
      <c r="K16" s="98"/>
      <c r="L16" s="98"/>
      <c r="M16" s="98"/>
    </row>
    <row r="17" spans="1:17" hidden="1" x14ac:dyDescent="0.25">
      <c r="B17" s="76" t="str">
        <f t="shared" si="2"/>
        <v>Hide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hidden="1" x14ac:dyDescent="0.25">
      <c r="B18" s="76" t="str">
        <f t="shared" si="2"/>
        <v>Hide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hidden="1" thickBot="1" x14ac:dyDescent="0.3">
      <c r="B19" s="76" t="str">
        <f t="shared" si="2"/>
        <v>Hide</v>
      </c>
      <c r="F19" s="190"/>
      <c r="G19" s="191"/>
      <c r="H19" s="191"/>
      <c r="I19" s="191"/>
      <c r="J19" s="191"/>
      <c r="K19" s="191"/>
      <c r="L19" s="191"/>
      <c r="M19" s="192"/>
    </row>
    <row r="20" spans="1:17" hidden="1" x14ac:dyDescent="0.25">
      <c r="B20" s="76" t="str">
        <f t="shared" si="2"/>
        <v>Hide</v>
      </c>
    </row>
    <row r="21" spans="1:17" hidden="1" x14ac:dyDescent="0.25">
      <c r="B21" s="76" t="str">
        <f t="shared" si="2"/>
        <v>Hide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hidden="1" x14ac:dyDescent="0.25">
      <c r="B22" s="76" t="str">
        <f t="shared" si="2"/>
        <v>Hide</v>
      </c>
      <c r="E22" s="101"/>
    </row>
    <row r="23" spans="1:17" hidden="1" x14ac:dyDescent="0.25">
      <c r="B23" s="76" t="str">
        <f t="shared" si="2"/>
        <v>Hide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hidden="1" x14ac:dyDescent="0.25">
      <c r="B24" s="76" t="str">
        <f t="shared" si="2"/>
        <v>Hide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hidden="1" customHeight="1" x14ac:dyDescent="0.25">
      <c r="A25" s="97"/>
      <c r="B25" s="76" t="str">
        <f t="shared" si="2"/>
        <v>Hide</v>
      </c>
      <c r="C25" s="96" t="s">
        <v>44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hidden="1" customHeight="1" x14ac:dyDescent="0.25">
      <c r="B26" s="92" t="str">
        <f>IF(I26="","Hide","Show")</f>
        <v>Hide</v>
      </c>
      <c r="C26" s="74" t="s">
        <v>179</v>
      </c>
      <c r="D26" s="89" t="s">
        <v>179</v>
      </c>
      <c r="E26" s="89" t="s">
        <v>179</v>
      </c>
      <c r="F26" s="89" t="s">
        <v>179</v>
      </c>
      <c r="G26" s="91" t="s">
        <v>180</v>
      </c>
      <c r="H26" s="90" t="s">
        <v>179</v>
      </c>
      <c r="I26" s="89" t="s">
        <v>179</v>
      </c>
      <c r="J26" s="89" t="s">
        <v>179</v>
      </c>
      <c r="K26" s="88"/>
      <c r="L26" s="87"/>
      <c r="M26" s="87"/>
      <c r="N26" s="85" t="s">
        <v>179</v>
      </c>
      <c r="O26" s="85" t="s">
        <v>179</v>
      </c>
      <c r="P26" s="85" t="s">
        <v>179</v>
      </c>
      <c r="Q26" s="86" t="s">
        <v>56</v>
      </c>
    </row>
    <row r="27" spans="1:17" hidden="1" x14ac:dyDescent="0.25">
      <c r="B27" s="74" t="str">
        <f>B26</f>
        <v>Hide</v>
      </c>
      <c r="H27" s="85"/>
      <c r="I27" s="85"/>
    </row>
    <row r="28" spans="1:17" ht="15.75" hidden="1" thickBot="1" x14ac:dyDescent="0.3">
      <c r="B28" s="74" t="str">
        <f>+B27</f>
        <v>Hide</v>
      </c>
      <c r="D28" s="193" t="str">
        <f>+"END OF "&amp;D2</f>
        <v>END OF FBC ALLEN FOOD PANTRY  (026077P) - NO REF|EGGS</v>
      </c>
      <c r="E28" s="194"/>
      <c r="F28" s="194"/>
      <c r="G28" s="194"/>
      <c r="H28" s="194"/>
      <c r="I28" s="194"/>
      <c r="J28" s="194"/>
      <c r="K28" s="194"/>
      <c r="L28" s="194"/>
      <c r="M28" s="195"/>
    </row>
    <row r="29" spans="1:17" ht="15.75" thickBot="1" x14ac:dyDescent="0.3"/>
    <row r="30" spans="1:17" ht="80.099999999999994" customHeight="1" thickBot="1" x14ac:dyDescent="0.3">
      <c r="A30" s="76" t="s">
        <v>30</v>
      </c>
      <c r="D30" s="166" t="str">
        <f>+F6</f>
        <v>DELIVER</v>
      </c>
      <c r="E30" s="167"/>
      <c r="F30" s="167"/>
      <c r="G30" s="167"/>
      <c r="H30" s="167"/>
      <c r="I30" s="167"/>
      <c r="J30" s="167"/>
      <c r="K30" s="167"/>
      <c r="L30" s="167"/>
      <c r="M30" s="168"/>
    </row>
    <row r="31" spans="1:17" ht="36.75" x14ac:dyDescent="0.45">
      <c r="A31" s="76" t="s">
        <v>30</v>
      </c>
      <c r="D31" s="176" t="s">
        <v>12</v>
      </c>
      <c r="E31" s="177"/>
      <c r="F31" s="196" t="str">
        <f>+F4</f>
        <v>026077P</v>
      </c>
      <c r="G31" s="196"/>
      <c r="H31" s="196"/>
      <c r="I31" s="196"/>
      <c r="J31" s="196"/>
      <c r="K31" s="196"/>
      <c r="L31" s="196"/>
      <c r="M31" s="197"/>
    </row>
    <row r="32" spans="1:17" ht="37.5" customHeight="1" thickBot="1" x14ac:dyDescent="0.5">
      <c r="A32" s="76" t="s">
        <v>30</v>
      </c>
      <c r="D32" s="158" t="s">
        <v>5</v>
      </c>
      <c r="E32" s="159"/>
      <c r="F32" s="161" t="str">
        <f>+F5</f>
        <v>FBC ALLEN FOOD PANTRY</v>
      </c>
      <c r="G32" s="161"/>
      <c r="H32" s="161"/>
      <c r="I32" s="161"/>
      <c r="J32" s="161"/>
      <c r="K32" s="161"/>
      <c r="L32" s="161"/>
      <c r="M32" s="162"/>
      <c r="N32" s="84"/>
      <c r="O32" s="84"/>
      <c r="P32" s="84"/>
    </row>
    <row r="33" spans="1:13" ht="33.75" hidden="1" thickBot="1" x14ac:dyDescent="0.45">
      <c r="A33" s="76" t="s">
        <v>19</v>
      </c>
      <c r="D33" s="172" t="s">
        <v>49</v>
      </c>
      <c r="E33" s="173"/>
      <c r="F33" s="82"/>
      <c r="G33" s="83"/>
      <c r="H33" s="82"/>
      <c r="I33" s="82"/>
      <c r="J33" s="82"/>
      <c r="K33" s="82"/>
      <c r="L33" s="82"/>
      <c r="M33" s="81"/>
    </row>
    <row r="34" spans="1:13" ht="30" hidden="1" customHeight="1" x14ac:dyDescent="0.25">
      <c r="A34" s="76" t="s">
        <v>19</v>
      </c>
      <c r="D34" s="80"/>
      <c r="E34" s="78"/>
      <c r="F34" s="174" t="s">
        <v>1400</v>
      </c>
      <c r="G34" s="174"/>
      <c r="H34" s="174"/>
      <c r="I34" s="174"/>
      <c r="J34" s="174"/>
      <c r="K34" s="174"/>
      <c r="L34" s="174"/>
      <c r="M34" s="175"/>
    </row>
    <row r="35" spans="1:13" ht="30" hidden="1" customHeight="1" x14ac:dyDescent="0.25">
      <c r="A35" s="76" t="s">
        <v>184</v>
      </c>
      <c r="D35" s="80"/>
      <c r="E35" s="78"/>
      <c r="F35" s="174" t="str">
        <f>"A108248"</f>
        <v>A108248</v>
      </c>
      <c r="G35" s="174"/>
      <c r="H35" s="174"/>
      <c r="I35" s="174"/>
      <c r="J35" s="174"/>
      <c r="K35" s="174"/>
      <c r="L35" s="174"/>
      <c r="M35" s="175"/>
    </row>
    <row r="36" spans="1:13" ht="15.75" hidden="1" customHeight="1" thickBot="1" x14ac:dyDescent="0.3">
      <c r="A36" s="76" t="s">
        <v>19</v>
      </c>
      <c r="D36" s="80"/>
      <c r="E36" s="78"/>
      <c r="F36" s="78"/>
      <c r="G36" s="79"/>
      <c r="H36" s="78"/>
      <c r="I36" s="78"/>
      <c r="J36" s="78"/>
      <c r="K36" s="78"/>
      <c r="L36" s="78"/>
      <c r="M36" s="77"/>
    </row>
    <row r="37" spans="1:13" ht="36.75" x14ac:dyDescent="0.45">
      <c r="A37" s="76" t="s">
        <v>30</v>
      </c>
      <c r="D37" s="176" t="s">
        <v>50</v>
      </c>
      <c r="E37" s="177"/>
      <c r="F37" s="178">
        <f>+F7</f>
        <v>42612</v>
      </c>
      <c r="G37" s="179"/>
      <c r="H37" s="179"/>
      <c r="I37" s="179"/>
      <c r="J37" s="179"/>
      <c r="K37" s="179"/>
      <c r="L37" s="179"/>
      <c r="M37" s="180"/>
    </row>
    <row r="38" spans="1:13" ht="37.5" thickBot="1" x14ac:dyDescent="0.5">
      <c r="A38" s="76" t="s">
        <v>30</v>
      </c>
      <c r="D38" s="158" t="s">
        <v>32</v>
      </c>
      <c r="E38" s="159"/>
      <c r="F38" s="160"/>
      <c r="G38" s="161"/>
      <c r="H38" s="161"/>
      <c r="I38" s="161"/>
      <c r="J38" s="161"/>
      <c r="K38" s="161"/>
      <c r="L38" s="161"/>
      <c r="M38" s="162"/>
    </row>
    <row r="39" spans="1:13" ht="80.099999999999994" customHeight="1" thickBot="1" x14ac:dyDescent="0.3">
      <c r="A39" s="76" t="s">
        <v>30</v>
      </c>
      <c r="D39" s="163" t="s">
        <v>51</v>
      </c>
      <c r="E39" s="164"/>
      <c r="F39" s="164"/>
      <c r="G39" s="164"/>
      <c r="H39" s="164"/>
      <c r="I39" s="164"/>
      <c r="J39" s="164"/>
      <c r="K39" s="164"/>
      <c r="L39" s="164"/>
      <c r="M39" s="165"/>
    </row>
    <row r="40" spans="1:13" ht="90" customHeight="1" thickBot="1" x14ac:dyDescent="0.3">
      <c r="A40" s="76" t="s">
        <v>30</v>
      </c>
      <c r="D40" s="166" t="str">
        <f>IF(F6="DELIVER",G6,F6)</f>
        <v>COLLIN 1</v>
      </c>
      <c r="E40" s="167"/>
      <c r="F40" s="167"/>
      <c r="G40" s="167"/>
      <c r="H40" s="167"/>
      <c r="I40" s="167"/>
      <c r="J40" s="167"/>
      <c r="K40" s="167"/>
      <c r="L40" s="167"/>
      <c r="M40" s="168"/>
    </row>
    <row r="41" spans="1:13" ht="60" customHeight="1" thickBot="1" x14ac:dyDescent="0.3">
      <c r="A41" s="76" t="s">
        <v>30</v>
      </c>
      <c r="D41" s="169" t="s">
        <v>55</v>
      </c>
      <c r="E41" s="170"/>
      <c r="F41" s="170"/>
      <c r="G41" s="170"/>
      <c r="H41" s="170"/>
      <c r="I41" s="170"/>
      <c r="J41" s="170"/>
      <c r="K41" s="170"/>
      <c r="L41" s="170"/>
      <c r="M41" s="171"/>
    </row>
  </sheetData>
  <mergeCells count="18">
    <mergeCell ref="D37:E37"/>
    <mergeCell ref="F37:M37"/>
    <mergeCell ref="D2:M2"/>
    <mergeCell ref="F17:M19"/>
    <mergeCell ref="D28:M28"/>
    <mergeCell ref="D30:M30"/>
    <mergeCell ref="D31:E31"/>
    <mergeCell ref="F31:M31"/>
    <mergeCell ref="F35:M35"/>
    <mergeCell ref="D32:E32"/>
    <mergeCell ref="F32:M32"/>
    <mergeCell ref="D33:E33"/>
    <mergeCell ref="F34:M34"/>
    <mergeCell ref="D38:E38"/>
    <mergeCell ref="F38:M38"/>
    <mergeCell ref="D39:M39"/>
    <mergeCell ref="D40:M40"/>
    <mergeCell ref="D41:M41"/>
  </mergeCells>
  <conditionalFormatting sqref="F6">
    <cfRule type="cellIs" dxfId="274" priority="5" operator="equal">
      <formula>"DELIVER"</formula>
    </cfRule>
  </conditionalFormatting>
  <conditionalFormatting sqref="D30">
    <cfRule type="cellIs" dxfId="273" priority="4" operator="equal">
      <formula>"DELIVER"</formula>
    </cfRule>
  </conditionalFormatting>
  <conditionalFormatting sqref="D2:M2">
    <cfRule type="expression" dxfId="272" priority="3">
      <formula>$F$6="DELIVER"</formula>
    </cfRule>
  </conditionalFormatting>
  <conditionalFormatting sqref="G6">
    <cfRule type="expression" dxfId="271" priority="2">
      <formula>$F$6="DELIVER"</formula>
    </cfRule>
  </conditionalFormatting>
  <conditionalFormatting sqref="D40">
    <cfRule type="expression" dxfId="27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8" max="16383" man="1"/>
  </row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1671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DIVINE INSPIRATION MISSIONARY  (026284P)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"026284P"</f>
        <v>026284P</v>
      </c>
      <c r="E4" s="101" t="s">
        <v>37</v>
      </c>
      <c r="F4" s="105" t="str">
        <f>C4</f>
        <v>026284P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1427</v>
      </c>
      <c r="E5" s="101" t="s">
        <v>36</v>
      </c>
      <c r="F5" s="112" t="s">
        <v>1186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1428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A108361|A108361|A108361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ITPN-207486|ITPN-207487|ITPN-207486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1427</v>
      </c>
      <c r="E12" s="74" t="s">
        <v>1418</v>
      </c>
      <c r="F12" s="74" t="s">
        <v>1423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Pick"",""2"",""ITPN-207487"""</f>
        <v>"Ceres NTFB Live","NTFB Live","5766","1","Invt. Pick","2","ITPN-207487"</v>
      </c>
      <c r="E13" s="74" t="s">
        <v>1418</v>
      </c>
      <c r="F13" s="74" t="s">
        <v>1424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1418</v>
      </c>
      <c r="E14" s="74" t="str">
        <f>E12</f>
        <v>A108361</v>
      </c>
      <c r="F14" s="74" t="str">
        <f>F12</f>
        <v>ITPN-207486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1425</v>
      </c>
      <c r="F15" s="92" t="s">
        <v>1426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96" t="s">
        <v>44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DIVINE INSPIRATION MISSIONARY  (026284P) - NO REF|EGGS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026284P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DIVINE INSPIRATION MISSIONARY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1418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269" priority="5" operator="equal">
      <formula>"DELIVER"</formula>
    </cfRule>
  </conditionalFormatting>
  <conditionalFormatting sqref="D29">
    <cfRule type="cellIs" dxfId="268" priority="4" operator="equal">
      <formula>"DELIVER"</formula>
    </cfRule>
  </conditionalFormatting>
  <conditionalFormatting sqref="D2:M2">
    <cfRule type="expression" dxfId="267" priority="3">
      <formula>$F$6="DELIVER"</formula>
    </cfRule>
  </conditionalFormatting>
  <conditionalFormatting sqref="G6">
    <cfRule type="expression" dxfId="266" priority="2">
      <formula>$F$6="DELIVER"</formula>
    </cfRule>
  </conditionalFormatting>
  <conditionalFormatting sqref="D38">
    <cfRule type="expression" dxfId="26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1673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CARVER HEIGHTS BAPTIST CHURCH  (026392P)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"026392P"</f>
        <v>026392P</v>
      </c>
      <c r="E4" s="101" t="s">
        <v>37</v>
      </c>
      <c r="F4" s="105" t="str">
        <f>C4</f>
        <v>026392P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1445</v>
      </c>
      <c r="E5" s="101" t="s">
        <v>36</v>
      </c>
      <c r="F5" s="112" t="s">
        <v>731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755</v>
      </c>
      <c r="E6" s="101" t="s">
        <v>38</v>
      </c>
      <c r="F6" s="105" t="s">
        <v>60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A108405|A108487|A108405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ITPN-207498|ITPN-207510|ITPN-207498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1445</v>
      </c>
      <c r="E12" s="74" t="s">
        <v>1430</v>
      </c>
      <c r="F12" s="74" t="s">
        <v>1440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Pick"",""2"",""ITPN-207510"""</f>
        <v>"Ceres NTFB Live","NTFB Live","5766","1","Invt. Pick","2","ITPN-207510"</v>
      </c>
      <c r="E13" s="74" t="s">
        <v>1441</v>
      </c>
      <c r="F13" s="74" t="s">
        <v>1442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1430</v>
      </c>
      <c r="E14" s="74" t="str">
        <f>E12</f>
        <v>A108405</v>
      </c>
      <c r="F14" s="74" t="str">
        <f>F12</f>
        <v>ITPN-207498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1443</v>
      </c>
      <c r="F15" s="92" t="s">
        <v>1444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96" t="s">
        <v>44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CARVER HEIGHTS BAPTIST CHURCH  (026392P) - NO REF|EGGS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026392P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CARVER HEIGHTS BAPTIST CHURCH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1430</v>
      </c>
      <c r="G33" s="174"/>
      <c r="H33" s="174"/>
      <c r="I33" s="174"/>
      <c r="J33" s="174"/>
      <c r="K33" s="174"/>
      <c r="L33" s="174"/>
      <c r="M33" s="175"/>
    </row>
    <row r="34" spans="1:13" ht="30" hidden="1" customHeight="1" x14ac:dyDescent="0.25">
      <c r="A34" s="76" t="s">
        <v>184</v>
      </c>
      <c r="D34" s="80"/>
      <c r="E34" s="78"/>
      <c r="F34" s="174" t="str">
        <f>"A108487"</f>
        <v>A108487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/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8">
    <mergeCell ref="D36:E36"/>
    <mergeCell ref="F36:M36"/>
    <mergeCell ref="D2:M2"/>
    <mergeCell ref="F16:M18"/>
    <mergeCell ref="D27:M27"/>
    <mergeCell ref="D29:M29"/>
    <mergeCell ref="D30:E30"/>
    <mergeCell ref="F30:M30"/>
    <mergeCell ref="F34:M34"/>
    <mergeCell ref="D31:E31"/>
    <mergeCell ref="F31:M31"/>
    <mergeCell ref="D32:E32"/>
    <mergeCell ref="F33:M33"/>
    <mergeCell ref="D37:E37"/>
    <mergeCell ref="F37:M37"/>
    <mergeCell ref="D38:M38"/>
    <mergeCell ref="D39:M39"/>
    <mergeCell ref="D40:M40"/>
  </mergeCells>
  <conditionalFormatting sqref="F6">
    <cfRule type="cellIs" dxfId="264" priority="5" operator="equal">
      <formula>"DELIVER"</formula>
    </cfRule>
  </conditionalFormatting>
  <conditionalFormatting sqref="D29">
    <cfRule type="cellIs" dxfId="263" priority="4" operator="equal">
      <formula>"DELIVER"</formula>
    </cfRule>
  </conditionalFormatting>
  <conditionalFormatting sqref="D2:M2">
    <cfRule type="expression" dxfId="262" priority="3">
      <formula>$F$6="DELIVER"</formula>
    </cfRule>
  </conditionalFormatting>
  <conditionalFormatting sqref="G6">
    <cfRule type="expression" dxfId="261" priority="2">
      <formula>$F$6="DELIVER"</formula>
    </cfRule>
  </conditionalFormatting>
  <conditionalFormatting sqref="D39">
    <cfRule type="expression" dxfId="26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1675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>HIDESHEET</v>
      </c>
      <c r="C2" s="74" t="s">
        <v>7</v>
      </c>
      <c r="D2" s="181" t="str">
        <f>IF(E28="",F5&amp;"  ("&amp;F4&amp;") - NO "&amp;C27,F5&amp;"  ("&amp;F4&amp;") - "&amp;C27&amp;" PICK LIST")</f>
        <v>LIFESOURCE MINISTRIES  (026508P)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"026508P"</f>
        <v>026508P</v>
      </c>
      <c r="E4" s="101" t="s">
        <v>37</v>
      </c>
      <c r="F4" s="105" t="str">
        <f>C4</f>
        <v>026508P</v>
      </c>
      <c r="K4" s="101" t="s">
        <v>42</v>
      </c>
      <c r="L4" s="104"/>
      <c r="M4" s="111">
        <f>SUM(I28:I29)</f>
        <v>0</v>
      </c>
    </row>
    <row r="5" spans="1:26" ht="18" hidden="1" customHeight="1" x14ac:dyDescent="0.25">
      <c r="B5" s="76" t="str">
        <f t="shared" si="0"/>
        <v>Hide</v>
      </c>
      <c r="C5" s="109" t="s">
        <v>1447</v>
      </c>
      <c r="E5" s="101" t="s">
        <v>36</v>
      </c>
      <c r="F5" s="112" t="s">
        <v>1176</v>
      </c>
      <c r="K5" s="101" t="s">
        <v>43</v>
      </c>
      <c r="L5" s="104"/>
      <c r="M5" s="111">
        <f>ROUND(SUM(O28:O29),0)</f>
        <v>0</v>
      </c>
    </row>
    <row r="6" spans="1:26" ht="18" hidden="1" customHeight="1" x14ac:dyDescent="0.25">
      <c r="B6" s="76" t="str">
        <f t="shared" si="0"/>
        <v>Hide</v>
      </c>
      <c r="C6" s="109" t="s">
        <v>1448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ROUND(COUNT(O28:O29),0)</f>
        <v>0</v>
      </c>
      <c r="P6" s="101"/>
      <c r="W6" s="101" t="str">
        <f>"ESTIMATED "&amp;O27&amp;"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E18</f>
        <v>A107897|A107899|A108201|A108323|A108323|A107897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F18</f>
        <v>ITPN-207430|ITPN-207431|ITPN-207451|ITPN-207467|ITPN-207468|ITPN-207430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B17</f>
        <v>Hide</v>
      </c>
      <c r="C12" s="74" t="s">
        <v>1447</v>
      </c>
      <c r="E12" s="74" t="str">
        <f>"A107897"</f>
        <v>A107897</v>
      </c>
      <c r="F12" s="74" t="str">
        <f>"ITPN-207430"</f>
        <v>ITPN-207430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6" si="1">B18</f>
        <v>Hide</v>
      </c>
      <c r="C13" s="74" t="str">
        <f>"""Ceres NTFB Live"",""NTFB Live"",""5766"",""1"",""Invt. Pick"",""2"",""ITPN-207431"""</f>
        <v>"Ceres NTFB Live","NTFB Live","5766","1","Invt. Pick","2","ITPN-207431"</v>
      </c>
      <c r="E13" s="74" t="str">
        <f>"A107899"</f>
        <v>A107899</v>
      </c>
      <c r="F13" s="74" t="str">
        <f>"ITPN-207431"</f>
        <v>ITPN-207431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Pick"",""2"",""ITPN-207451"""</f>
        <v>"Ceres NTFB Live","NTFB Live","5766","1","Invt. Pick","2","ITPN-207451"</v>
      </c>
      <c r="E14" s="74" t="str">
        <f>"A108201"</f>
        <v>A108201</v>
      </c>
      <c r="F14" s="74" t="str">
        <f>"ITPN-207451"</f>
        <v>ITPN-207451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Pick"",""2"",""ITPN-207467"""</f>
        <v>"Ceres NTFB Live","NTFB Live","5766","1","Invt. Pick","2","ITPN-207467"</v>
      </c>
      <c r="E15" s="74" t="str">
        <f>"A108323"</f>
        <v>A108323</v>
      </c>
      <c r="F15" s="74" t="str">
        <f>"ITPN-207467"</f>
        <v>ITPN-207467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Pick"",""2"",""ITPN-207468"""</f>
        <v>"Ceres NTFB Live","NTFB Live","5766","1","Invt. Pick","2","ITPN-207468"</v>
      </c>
      <c r="E16" s="74" t="str">
        <f>"A108323"</f>
        <v>A108323</v>
      </c>
      <c r="F16" s="74" t="str">
        <f>"ITPN-207468"</f>
        <v>ITPN-207468</v>
      </c>
      <c r="I16" s="98"/>
      <c r="J16" s="98"/>
      <c r="K16" s="98"/>
      <c r="L16" s="98"/>
      <c r="M16" s="98"/>
    </row>
    <row r="17" spans="1:17" hidden="1" x14ac:dyDescent="0.25">
      <c r="A17" s="74" t="s">
        <v>6</v>
      </c>
      <c r="B17" s="76" t="str">
        <f t="shared" ref="B17:B27" si="2">B18</f>
        <v>Hide</v>
      </c>
      <c r="C17" s="74" t="s">
        <v>1452</v>
      </c>
      <c r="E17" s="74" t="str">
        <f>E12</f>
        <v>A107897</v>
      </c>
      <c r="F17" s="74" t="str">
        <f>F12</f>
        <v>ITPN-207430</v>
      </c>
      <c r="I17" s="98"/>
      <c r="J17" s="98"/>
      <c r="K17" s="98"/>
      <c r="L17" s="98"/>
      <c r="M17" s="98"/>
    </row>
    <row r="18" spans="1:17" hidden="1" x14ac:dyDescent="0.25">
      <c r="A18" s="74" t="s">
        <v>6</v>
      </c>
      <c r="B18" s="76" t="str">
        <f t="shared" si="2"/>
        <v>Hide</v>
      </c>
      <c r="E18" s="92" t="s">
        <v>1451</v>
      </c>
      <c r="F18" s="92" t="s">
        <v>1449</v>
      </c>
      <c r="I18" s="98"/>
      <c r="J18" s="98"/>
      <c r="K18" s="98"/>
      <c r="L18" s="98"/>
      <c r="M18" s="98"/>
    </row>
    <row r="19" spans="1:17" hidden="1" x14ac:dyDescent="0.25">
      <c r="B19" s="76" t="str">
        <f t="shared" si="2"/>
        <v>Hide</v>
      </c>
      <c r="E19" s="101" t="s">
        <v>20</v>
      </c>
      <c r="F19" s="184" t="s">
        <v>1450</v>
      </c>
      <c r="G19" s="185"/>
      <c r="H19" s="185"/>
      <c r="I19" s="185"/>
      <c r="J19" s="185"/>
      <c r="K19" s="185"/>
      <c r="L19" s="185"/>
      <c r="M19" s="186"/>
    </row>
    <row r="20" spans="1:17" hidden="1" x14ac:dyDescent="0.25">
      <c r="B20" s="76" t="str">
        <f t="shared" si="2"/>
        <v>Hide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hidden="1" thickBot="1" x14ac:dyDescent="0.3">
      <c r="B21" s="76" t="str">
        <f t="shared" si="2"/>
        <v>Hide</v>
      </c>
      <c r="F21" s="190"/>
      <c r="G21" s="191"/>
      <c r="H21" s="191"/>
      <c r="I21" s="191"/>
      <c r="J21" s="191"/>
      <c r="K21" s="191"/>
      <c r="L21" s="191"/>
      <c r="M21" s="192"/>
    </row>
    <row r="22" spans="1:17" hidden="1" x14ac:dyDescent="0.25">
      <c r="B22" s="76" t="str">
        <f t="shared" si="2"/>
        <v>Hide</v>
      </c>
    </row>
    <row r="23" spans="1:17" hidden="1" x14ac:dyDescent="0.25">
      <c r="B23" s="76" t="str">
        <f t="shared" si="2"/>
        <v>Hide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hidden="1" x14ac:dyDescent="0.25">
      <c r="B24" s="76" t="str">
        <f t="shared" si="2"/>
        <v>Hide</v>
      </c>
      <c r="E24" s="101"/>
    </row>
    <row r="25" spans="1:17" hidden="1" x14ac:dyDescent="0.25">
      <c r="B25" s="76" t="str">
        <f t="shared" si="2"/>
        <v>Hide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hidden="1" x14ac:dyDescent="0.25">
      <c r="B26" s="76" t="str">
        <f t="shared" si="2"/>
        <v>Hide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hidden="1" customHeight="1" x14ac:dyDescent="0.25">
      <c r="A27" s="97"/>
      <c r="B27" s="76" t="str">
        <f t="shared" si="2"/>
        <v>Hide</v>
      </c>
      <c r="C27" s="96" t="s">
        <v>44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hidden="1" customHeight="1" x14ac:dyDescent="0.25">
      <c r="B28" s="92" t="str">
        <f>IF(I28="","Hide","Show")</f>
        <v>Hide</v>
      </c>
      <c r="C28" s="74" t="s">
        <v>179</v>
      </c>
      <c r="D28" s="89" t="s">
        <v>179</v>
      </c>
      <c r="E28" s="89" t="s">
        <v>179</v>
      </c>
      <c r="F28" s="89" t="s">
        <v>179</v>
      </c>
      <c r="G28" s="91" t="s">
        <v>180</v>
      </c>
      <c r="H28" s="90" t="s">
        <v>179</v>
      </c>
      <c r="I28" s="89" t="s">
        <v>179</v>
      </c>
      <c r="J28" s="89" t="s">
        <v>179</v>
      </c>
      <c r="K28" s="88"/>
      <c r="L28" s="87"/>
      <c r="M28" s="87"/>
      <c r="N28" s="85" t="s">
        <v>179</v>
      </c>
      <c r="O28" s="85" t="s">
        <v>179</v>
      </c>
      <c r="P28" s="85" t="s">
        <v>179</v>
      </c>
      <c r="Q28" s="86" t="s">
        <v>56</v>
      </c>
    </row>
    <row r="29" spans="1:17" hidden="1" x14ac:dyDescent="0.25">
      <c r="B29" s="74" t="str">
        <f>B28</f>
        <v>Hide</v>
      </c>
      <c r="H29" s="85"/>
      <c r="I29" s="85"/>
    </row>
    <row r="30" spans="1:17" ht="15.75" hidden="1" thickBot="1" x14ac:dyDescent="0.3">
      <c r="B30" s="74" t="str">
        <f>+B29</f>
        <v>Hide</v>
      </c>
      <c r="D30" s="193" t="str">
        <f>+"END OF "&amp;D2</f>
        <v>END OF LIFESOURCE MINISTRIES  (026508P) - NO REF|EGGS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DELIVER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026508P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LIFESOURCE MINISTRIES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1452</v>
      </c>
      <c r="G36" s="174"/>
      <c r="H36" s="174"/>
      <c r="I36" s="174"/>
      <c r="J36" s="174"/>
      <c r="K36" s="174"/>
      <c r="L36" s="174"/>
      <c r="M36" s="175"/>
    </row>
    <row r="37" spans="1:16" ht="30" hidden="1" customHeight="1" x14ac:dyDescent="0.25">
      <c r="A37" s="76" t="s">
        <v>184</v>
      </c>
      <c r="D37" s="80"/>
      <c r="E37" s="78"/>
      <c r="F37" s="174" t="str">
        <f>"A107899"</f>
        <v>A107899</v>
      </c>
      <c r="G37" s="174"/>
      <c r="H37" s="174"/>
      <c r="I37" s="174"/>
      <c r="J37" s="174"/>
      <c r="K37" s="174"/>
      <c r="L37" s="174"/>
      <c r="M37" s="175"/>
    </row>
    <row r="38" spans="1:16" ht="30" hidden="1" customHeight="1" x14ac:dyDescent="0.25">
      <c r="A38" s="76" t="s">
        <v>184</v>
      </c>
      <c r="D38" s="80"/>
      <c r="E38" s="78"/>
      <c r="F38" s="174" t="str">
        <f>"A108201"</f>
        <v>A108201</v>
      </c>
      <c r="G38" s="174"/>
      <c r="H38" s="174"/>
      <c r="I38" s="174"/>
      <c r="J38" s="174"/>
      <c r="K38" s="174"/>
      <c r="L38" s="174"/>
      <c r="M38" s="175"/>
    </row>
    <row r="39" spans="1:16" ht="30" hidden="1" customHeight="1" x14ac:dyDescent="0.25">
      <c r="A39" s="76" t="s">
        <v>184</v>
      </c>
      <c r="D39" s="80"/>
      <c r="E39" s="78"/>
      <c r="F39" s="174" t="str">
        <f>"A108323"</f>
        <v>A108323</v>
      </c>
      <c r="G39" s="174"/>
      <c r="H39" s="174"/>
      <c r="I39" s="174"/>
      <c r="J39" s="174"/>
      <c r="K39" s="174"/>
      <c r="L39" s="174"/>
      <c r="M39" s="175"/>
    </row>
    <row r="40" spans="1:16" ht="15.75" hidden="1" customHeight="1" thickBot="1" x14ac:dyDescent="0.3">
      <c r="A40" s="76" t="s">
        <v>19</v>
      </c>
      <c r="D40" s="80"/>
      <c r="E40" s="78"/>
      <c r="F40" s="78"/>
      <c r="G40" s="79"/>
      <c r="H40" s="78"/>
      <c r="I40" s="78"/>
      <c r="J40" s="78"/>
      <c r="K40" s="78"/>
      <c r="L40" s="78"/>
      <c r="M40" s="77"/>
    </row>
    <row r="41" spans="1:16" ht="36.75" x14ac:dyDescent="0.45">
      <c r="A41" s="76" t="s">
        <v>30</v>
      </c>
      <c r="D41" s="176" t="s">
        <v>50</v>
      </c>
      <c r="E41" s="177"/>
      <c r="F41" s="178">
        <f>+F7</f>
        <v>42612</v>
      </c>
      <c r="G41" s="179"/>
      <c r="H41" s="179"/>
      <c r="I41" s="179"/>
      <c r="J41" s="179"/>
      <c r="K41" s="179"/>
      <c r="L41" s="179"/>
      <c r="M41" s="180"/>
    </row>
    <row r="42" spans="1:16" ht="37.5" thickBot="1" x14ac:dyDescent="0.5">
      <c r="A42" s="76" t="s">
        <v>30</v>
      </c>
      <c r="D42" s="158" t="s">
        <v>32</v>
      </c>
      <c r="E42" s="159"/>
      <c r="F42" s="160"/>
      <c r="G42" s="161"/>
      <c r="H42" s="161"/>
      <c r="I42" s="161"/>
      <c r="J42" s="161"/>
      <c r="K42" s="161"/>
      <c r="L42" s="161"/>
      <c r="M42" s="162"/>
    </row>
    <row r="43" spans="1:16" ht="80.099999999999994" customHeight="1" thickBot="1" x14ac:dyDescent="0.3">
      <c r="A43" s="76" t="s">
        <v>30</v>
      </c>
      <c r="D43" s="163" t="s">
        <v>51</v>
      </c>
      <c r="E43" s="164"/>
      <c r="F43" s="164"/>
      <c r="G43" s="164"/>
      <c r="H43" s="164"/>
      <c r="I43" s="164"/>
      <c r="J43" s="164"/>
      <c r="K43" s="164"/>
      <c r="L43" s="164"/>
      <c r="M43" s="165"/>
    </row>
    <row r="44" spans="1:16" ht="90" customHeight="1" thickBot="1" x14ac:dyDescent="0.3">
      <c r="A44" s="76" t="s">
        <v>30</v>
      </c>
      <c r="D44" s="166" t="str">
        <f>IF(F6="DELIVER",G6,F6)</f>
        <v>COLLIN 1</v>
      </c>
      <c r="E44" s="167"/>
      <c r="F44" s="167"/>
      <c r="G44" s="167"/>
      <c r="H44" s="167"/>
      <c r="I44" s="167"/>
      <c r="J44" s="167"/>
      <c r="K44" s="167"/>
      <c r="L44" s="167"/>
      <c r="M44" s="168"/>
    </row>
    <row r="45" spans="1:16" ht="60" customHeight="1" thickBot="1" x14ac:dyDescent="0.3">
      <c r="A45" s="76" t="s">
        <v>30</v>
      </c>
      <c r="D45" s="169" t="s">
        <v>55</v>
      </c>
      <c r="E45" s="170"/>
      <c r="F45" s="170"/>
      <c r="G45" s="170"/>
      <c r="H45" s="170"/>
      <c r="I45" s="170"/>
      <c r="J45" s="170"/>
      <c r="K45" s="170"/>
      <c r="L45" s="170"/>
      <c r="M45" s="171"/>
    </row>
  </sheetData>
  <mergeCells count="20">
    <mergeCell ref="D41:E41"/>
    <mergeCell ref="F41:M41"/>
    <mergeCell ref="D2:M2"/>
    <mergeCell ref="F19:M21"/>
    <mergeCell ref="D30:M30"/>
    <mergeCell ref="D32:M32"/>
    <mergeCell ref="D33:E33"/>
    <mergeCell ref="F33:M33"/>
    <mergeCell ref="F37:M37"/>
    <mergeCell ref="F38:M38"/>
    <mergeCell ref="F39:M39"/>
    <mergeCell ref="D34:E34"/>
    <mergeCell ref="F34:M34"/>
    <mergeCell ref="D35:E35"/>
    <mergeCell ref="F36:M36"/>
    <mergeCell ref="D42:E42"/>
    <mergeCell ref="F42:M42"/>
    <mergeCell ref="D43:M43"/>
    <mergeCell ref="D44:M44"/>
    <mergeCell ref="D45:M45"/>
  </mergeCells>
  <conditionalFormatting sqref="F6">
    <cfRule type="cellIs" dxfId="259" priority="5" operator="equal">
      <formula>"DELIVER"</formula>
    </cfRule>
  </conditionalFormatting>
  <conditionalFormatting sqref="D32">
    <cfRule type="cellIs" dxfId="258" priority="4" operator="equal">
      <formula>"DELIVER"</formula>
    </cfRule>
  </conditionalFormatting>
  <conditionalFormatting sqref="D2:M2">
    <cfRule type="expression" dxfId="257" priority="3">
      <formula>$F$6="DELIVER"</formula>
    </cfRule>
  </conditionalFormatting>
  <conditionalFormatting sqref="G6">
    <cfRule type="expression" dxfId="256" priority="2">
      <formula>$F$6="DELIVER"</formula>
    </cfRule>
  </conditionalFormatting>
  <conditionalFormatting sqref="D44">
    <cfRule type="expression" dxfId="25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1677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SOUL FOR CHRIST MINISTRY, INC  (026536RA)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"026536RA"</f>
        <v>026536RA</v>
      </c>
      <c r="E4" s="101" t="s">
        <v>37</v>
      </c>
      <c r="F4" s="105" t="str">
        <f>C4</f>
        <v>026536RA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1465</v>
      </c>
      <c r="E5" s="101" t="s">
        <v>36</v>
      </c>
      <c r="F5" s="112" t="s">
        <v>733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757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A108241|A108406|A108241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ITPN-207461|ITPN-207499|ITPN-207461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1465</v>
      </c>
      <c r="E12" s="74" t="s">
        <v>1459</v>
      </c>
      <c r="F12" s="74" t="s">
        <v>1460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Pick"",""2"",""ITPN-207499"""</f>
        <v>"Ceres NTFB Live","NTFB Live","5766","1","Invt. Pick","2","ITPN-207499"</v>
      </c>
      <c r="E13" s="74" t="s">
        <v>1461</v>
      </c>
      <c r="F13" s="74" t="s">
        <v>1462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1459</v>
      </c>
      <c r="E14" s="74" t="str">
        <f>E12</f>
        <v>A108241</v>
      </c>
      <c r="F14" s="74" t="str">
        <f>F12</f>
        <v>ITPN-207461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1463</v>
      </c>
      <c r="F15" s="92" t="s">
        <v>1464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96" t="s">
        <v>44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SOUL FOR CHRIST MINISTRY, INC  (026536RA) - NO REF|EGGS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026536RA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SOUL FOR CHRIST MINISTRY, INC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1459</v>
      </c>
      <c r="G33" s="174"/>
      <c r="H33" s="174"/>
      <c r="I33" s="174"/>
      <c r="J33" s="174"/>
      <c r="K33" s="174"/>
      <c r="L33" s="174"/>
      <c r="M33" s="175"/>
    </row>
    <row r="34" spans="1:13" ht="30" hidden="1" customHeight="1" x14ac:dyDescent="0.25">
      <c r="A34" s="76" t="s">
        <v>184</v>
      </c>
      <c r="D34" s="80"/>
      <c r="E34" s="78"/>
      <c r="F34" s="174" t="str">
        <f>"A108406"</f>
        <v>A108406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>PICKUP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8">
    <mergeCell ref="D36:E36"/>
    <mergeCell ref="F36:M36"/>
    <mergeCell ref="D2:M2"/>
    <mergeCell ref="F16:M18"/>
    <mergeCell ref="D27:M27"/>
    <mergeCell ref="D29:M29"/>
    <mergeCell ref="D30:E30"/>
    <mergeCell ref="F30:M30"/>
    <mergeCell ref="F34:M34"/>
    <mergeCell ref="D31:E31"/>
    <mergeCell ref="F31:M31"/>
    <mergeCell ref="D32:E32"/>
    <mergeCell ref="F33:M33"/>
    <mergeCell ref="D37:E37"/>
    <mergeCell ref="F37:M37"/>
    <mergeCell ref="D38:M38"/>
    <mergeCell ref="D39:M39"/>
    <mergeCell ref="D40:M40"/>
  </mergeCells>
  <conditionalFormatting sqref="F6">
    <cfRule type="cellIs" dxfId="254" priority="5" operator="equal">
      <formula>"DELIVER"</formula>
    </cfRule>
  </conditionalFormatting>
  <conditionalFormatting sqref="D29">
    <cfRule type="cellIs" dxfId="253" priority="4" operator="equal">
      <formula>"DELIVER"</formula>
    </cfRule>
  </conditionalFormatting>
  <conditionalFormatting sqref="D2:M2">
    <cfRule type="expression" dxfId="252" priority="3">
      <formula>$F$6="DELIVER"</formula>
    </cfRule>
  </conditionalFormatting>
  <conditionalFormatting sqref="G6">
    <cfRule type="expression" dxfId="251" priority="2">
      <formula>$F$6="DELIVER"</formula>
    </cfRule>
  </conditionalFormatting>
  <conditionalFormatting sqref="D39">
    <cfRule type="expression" dxfId="25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1556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/>
      </c>
      <c r="C2" s="74" t="s">
        <v>7</v>
      </c>
      <c r="D2" s="181" t="str">
        <f>IF(E24="",F5&amp;"  ("&amp;F4&amp;") - NO "&amp;C23,F5&amp;"  ("&amp;F4&amp;") - "&amp;C23&amp;" PICK LIST")</f>
        <v>DUNCANVILLE OUTREACH MINISTRY  (002051P)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"002051P"</f>
        <v>002051P</v>
      </c>
      <c r="E4" s="101" t="s">
        <v>37</v>
      </c>
      <c r="F4" s="105" t="str">
        <f>C4</f>
        <v>002051P</v>
      </c>
      <c r="K4" s="101" t="s">
        <v>42</v>
      </c>
      <c r="L4" s="104"/>
      <c r="M4" s="111">
        <f>SUM(I24:I25)</f>
        <v>50</v>
      </c>
    </row>
    <row r="5" spans="1:26" ht="18" customHeight="1" x14ac:dyDescent="0.25">
      <c r="B5" s="76" t="str">
        <f t="shared" si="0"/>
        <v>Show</v>
      </c>
      <c r="C5" s="109" t="s">
        <v>1221</v>
      </c>
      <c r="E5" s="101" t="s">
        <v>36</v>
      </c>
      <c r="F5" s="112" t="s">
        <v>1187</v>
      </c>
      <c r="K5" s="101" t="s">
        <v>43</v>
      </c>
      <c r="L5" s="104"/>
      <c r="M5" s="111">
        <f>ROUND(SUM(O24:O25),0)</f>
        <v>700</v>
      </c>
    </row>
    <row r="6" spans="1:26" ht="18" customHeight="1" x14ac:dyDescent="0.25">
      <c r="B6" s="76" t="str">
        <f t="shared" si="0"/>
        <v>Show</v>
      </c>
      <c r="C6" s="109" t="s">
        <v>1225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ROUND(COUNT(O24:O25),0)</f>
        <v>1</v>
      </c>
      <c r="P6" s="101"/>
      <c r="W6" s="101" t="str">
        <f>"ESTIMATED "&amp;O23&amp;"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E14</f>
        <v>A108341|A108341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F14</f>
        <v>ITPN-207475|ITPN-207475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 t="shared" si="0"/>
        <v>Show</v>
      </c>
      <c r="C12" s="74" t="s">
        <v>1221</v>
      </c>
      <c r="E12" s="74" t="s">
        <v>1216</v>
      </c>
      <c r="F12" s="74" t="s">
        <v>1222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6</v>
      </c>
      <c r="B13" s="76" t="str">
        <f t="shared" si="0"/>
        <v>Show</v>
      </c>
      <c r="C13" s="74" t="s">
        <v>1216</v>
      </c>
      <c r="E13" s="74" t="str">
        <f>E12</f>
        <v>A108341</v>
      </c>
      <c r="F13" s="74" t="str">
        <f>F12</f>
        <v>ITPN-207475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si="0"/>
        <v>Show</v>
      </c>
      <c r="E14" s="92" t="s">
        <v>1223</v>
      </c>
      <c r="F14" s="92" t="s">
        <v>1224</v>
      </c>
      <c r="I14" s="98"/>
      <c r="J14" s="98"/>
      <c r="K14" s="98"/>
      <c r="L14" s="98"/>
      <c r="M14" s="98"/>
    </row>
    <row r="15" spans="1:26" x14ac:dyDescent="0.25">
      <c r="B15" s="76" t="str">
        <f t="shared" si="0"/>
        <v>Show</v>
      </c>
      <c r="E15" s="101" t="s">
        <v>20</v>
      </c>
      <c r="F15" s="184" t="s">
        <v>179</v>
      </c>
      <c r="G15" s="185"/>
      <c r="H15" s="185"/>
      <c r="I15" s="185"/>
      <c r="J15" s="185"/>
      <c r="K15" s="185"/>
      <c r="L15" s="185"/>
      <c r="M15" s="186"/>
    </row>
    <row r="16" spans="1:26" x14ac:dyDescent="0.25">
      <c r="B16" s="76" t="str">
        <f t="shared" si="0"/>
        <v>Show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thickBot="1" x14ac:dyDescent="0.3">
      <c r="B17" s="76" t="str">
        <f t="shared" si="0"/>
        <v>Show</v>
      </c>
      <c r="F17" s="190"/>
      <c r="G17" s="191"/>
      <c r="H17" s="191"/>
      <c r="I17" s="191"/>
      <c r="J17" s="191"/>
      <c r="K17" s="191"/>
      <c r="L17" s="191"/>
      <c r="M17" s="192"/>
    </row>
    <row r="18" spans="1:17" x14ac:dyDescent="0.25">
      <c r="B18" s="76" t="str">
        <f t="shared" si="0"/>
        <v>Show</v>
      </c>
    </row>
    <row r="19" spans="1:17" x14ac:dyDescent="0.25">
      <c r="B19" s="76" t="str">
        <f t="shared" si="0"/>
        <v>Show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x14ac:dyDescent="0.25">
      <c r="B20" s="76" t="str">
        <f t="shared" si="0"/>
        <v>Show</v>
      </c>
      <c r="E20" s="101"/>
    </row>
    <row r="21" spans="1:17" x14ac:dyDescent="0.25">
      <c r="B21" s="76" t="str">
        <f t="shared" si="0"/>
        <v>Show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x14ac:dyDescent="0.25">
      <c r="B22" s="76" t="str">
        <f t="shared" si="0"/>
        <v>Show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customHeight="1" x14ac:dyDescent="0.25">
      <c r="A23" s="97"/>
      <c r="B23" s="76" t="str">
        <f t="shared" si="0"/>
        <v>Show</v>
      </c>
      <c r="C23" s="96" t="s">
        <v>79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customHeight="1" x14ac:dyDescent="0.25">
      <c r="B24" s="92" t="str">
        <f>IF(I24="","Hide","Show")</f>
        <v>Show</v>
      </c>
      <c r="C24" s="74" t="s">
        <v>1217</v>
      </c>
      <c r="D24" s="89" t="s">
        <v>1218</v>
      </c>
      <c r="E24" s="89" t="s">
        <v>1219</v>
      </c>
      <c r="F24" s="89" t="s">
        <v>746</v>
      </c>
      <c r="G24" s="91" t="s">
        <v>1220</v>
      </c>
      <c r="H24" s="90" t="s">
        <v>747</v>
      </c>
      <c r="I24" s="89">
        <v>50</v>
      </c>
      <c r="J24" s="89" t="s">
        <v>286</v>
      </c>
      <c r="K24" s="88"/>
      <c r="L24" s="87"/>
      <c r="M24" s="87"/>
      <c r="N24" s="85" t="s">
        <v>179</v>
      </c>
      <c r="O24" s="85">
        <v>700</v>
      </c>
      <c r="P24" s="85" t="s">
        <v>742</v>
      </c>
      <c r="Q24" s="86" t="s">
        <v>56</v>
      </c>
    </row>
    <row r="25" spans="1:17" ht="15.75" thickBot="1" x14ac:dyDescent="0.3">
      <c r="B25" s="74" t="str">
        <f>B24</f>
        <v>Show</v>
      </c>
      <c r="H25" s="85"/>
      <c r="I25" s="85"/>
    </row>
    <row r="26" spans="1:17" ht="15.75" thickBot="1" x14ac:dyDescent="0.3">
      <c r="B26" s="74" t="str">
        <f>+B25</f>
        <v>Show</v>
      </c>
      <c r="D26" s="193" t="str">
        <f>+"END OF "&amp;D2</f>
        <v>END OF DUNCANVILLE OUTREACH MINISTRY  (002051P) - DRY|DRYUSDA|MCTF PICK LIST</v>
      </c>
      <c r="E26" s="194"/>
      <c r="F26" s="194"/>
      <c r="G26" s="194"/>
      <c r="H26" s="194"/>
      <c r="I26" s="194"/>
      <c r="J26" s="194"/>
      <c r="K26" s="194"/>
      <c r="L26" s="194"/>
      <c r="M26" s="195"/>
    </row>
    <row r="27" spans="1:17" ht="15.75" thickBot="1" x14ac:dyDescent="0.3"/>
    <row r="28" spans="1:17" ht="80.099999999999994" customHeight="1" thickBot="1" x14ac:dyDescent="0.3">
      <c r="A28" s="76" t="s">
        <v>30</v>
      </c>
      <c r="D28" s="166" t="str">
        <f>+F6</f>
        <v>PICKUP</v>
      </c>
      <c r="E28" s="167"/>
      <c r="F28" s="167"/>
      <c r="G28" s="167"/>
      <c r="H28" s="167"/>
      <c r="I28" s="167"/>
      <c r="J28" s="167"/>
      <c r="K28" s="167"/>
      <c r="L28" s="167"/>
      <c r="M28" s="168"/>
    </row>
    <row r="29" spans="1:17" ht="36.75" x14ac:dyDescent="0.45">
      <c r="A29" s="76" t="s">
        <v>30</v>
      </c>
      <c r="D29" s="176" t="s">
        <v>12</v>
      </c>
      <c r="E29" s="177"/>
      <c r="F29" s="196" t="str">
        <f>+F4</f>
        <v>002051P</v>
      </c>
      <c r="G29" s="196"/>
      <c r="H29" s="196"/>
      <c r="I29" s="196"/>
      <c r="J29" s="196"/>
      <c r="K29" s="196"/>
      <c r="L29" s="196"/>
      <c r="M29" s="197"/>
    </row>
    <row r="30" spans="1:17" ht="37.5" customHeight="1" thickBot="1" x14ac:dyDescent="0.5">
      <c r="A30" s="76" t="s">
        <v>30</v>
      </c>
      <c r="D30" s="158" t="s">
        <v>5</v>
      </c>
      <c r="E30" s="159"/>
      <c r="F30" s="161" t="str">
        <f>+F5</f>
        <v>DUNCANVILLE OUTREACH MINISTRY</v>
      </c>
      <c r="G30" s="161"/>
      <c r="H30" s="161"/>
      <c r="I30" s="161"/>
      <c r="J30" s="161"/>
      <c r="K30" s="161"/>
      <c r="L30" s="161"/>
      <c r="M30" s="162"/>
      <c r="N30" s="84"/>
      <c r="O30" s="84"/>
      <c r="P30" s="84"/>
    </row>
    <row r="31" spans="1:17" ht="33.75" hidden="1" thickBot="1" x14ac:dyDescent="0.45">
      <c r="A31" s="76" t="s">
        <v>19</v>
      </c>
      <c r="D31" s="172" t="s">
        <v>49</v>
      </c>
      <c r="E31" s="173"/>
      <c r="F31" s="82"/>
      <c r="G31" s="83"/>
      <c r="H31" s="82"/>
      <c r="I31" s="82"/>
      <c r="J31" s="82"/>
      <c r="K31" s="82"/>
      <c r="L31" s="82"/>
      <c r="M31" s="81"/>
    </row>
    <row r="32" spans="1:17" ht="30" hidden="1" customHeight="1" x14ac:dyDescent="0.25">
      <c r="A32" s="76" t="s">
        <v>19</v>
      </c>
      <c r="D32" s="80"/>
      <c r="E32" s="78"/>
      <c r="F32" s="174" t="s">
        <v>1216</v>
      </c>
      <c r="G32" s="174"/>
      <c r="H32" s="174"/>
      <c r="I32" s="174"/>
      <c r="J32" s="174"/>
      <c r="K32" s="174"/>
      <c r="L32" s="174"/>
      <c r="M32" s="175"/>
    </row>
    <row r="33" spans="1:13" ht="15.75" hidden="1" customHeight="1" thickBot="1" x14ac:dyDescent="0.3">
      <c r="A33" s="76" t="s">
        <v>19</v>
      </c>
      <c r="D33" s="80"/>
      <c r="E33" s="78"/>
      <c r="F33" s="78"/>
      <c r="G33" s="79"/>
      <c r="H33" s="78"/>
      <c r="I33" s="78"/>
      <c r="J33" s="78"/>
      <c r="K33" s="78"/>
      <c r="L33" s="78"/>
      <c r="M33" s="77"/>
    </row>
    <row r="34" spans="1:13" ht="36.75" x14ac:dyDescent="0.45">
      <c r="A34" s="76" t="s">
        <v>30</v>
      </c>
      <c r="D34" s="176" t="s">
        <v>50</v>
      </c>
      <c r="E34" s="177"/>
      <c r="F34" s="178">
        <f>+F7</f>
        <v>42612</v>
      </c>
      <c r="G34" s="179"/>
      <c r="H34" s="179"/>
      <c r="I34" s="179"/>
      <c r="J34" s="179"/>
      <c r="K34" s="179"/>
      <c r="L34" s="179"/>
      <c r="M34" s="180"/>
    </row>
    <row r="35" spans="1:13" ht="37.5" thickBot="1" x14ac:dyDescent="0.5">
      <c r="A35" s="76" t="s">
        <v>30</v>
      </c>
      <c r="D35" s="158" t="s">
        <v>32</v>
      </c>
      <c r="E35" s="159"/>
      <c r="F35" s="160"/>
      <c r="G35" s="161"/>
      <c r="H35" s="161"/>
      <c r="I35" s="161"/>
      <c r="J35" s="161"/>
      <c r="K35" s="161"/>
      <c r="L35" s="161"/>
      <c r="M35" s="162"/>
    </row>
    <row r="36" spans="1:13" ht="80.099999999999994" customHeight="1" thickBot="1" x14ac:dyDescent="0.3">
      <c r="A36" s="76" t="s">
        <v>30</v>
      </c>
      <c r="D36" s="163" t="s">
        <v>51</v>
      </c>
      <c r="E36" s="164"/>
      <c r="F36" s="164"/>
      <c r="G36" s="164"/>
      <c r="H36" s="164"/>
      <c r="I36" s="164"/>
      <c r="J36" s="164"/>
      <c r="K36" s="164"/>
      <c r="L36" s="164"/>
      <c r="M36" s="165"/>
    </row>
    <row r="37" spans="1:13" ht="90" customHeight="1" thickBot="1" x14ac:dyDescent="0.3">
      <c r="A37" s="76" t="s">
        <v>30</v>
      </c>
      <c r="D37" s="166" t="str">
        <f>IF(F6="DELIVER",G6,F6)</f>
        <v>PICKUP</v>
      </c>
      <c r="E37" s="167"/>
      <c r="F37" s="167"/>
      <c r="G37" s="167"/>
      <c r="H37" s="167"/>
      <c r="I37" s="167"/>
      <c r="J37" s="167"/>
      <c r="K37" s="167"/>
      <c r="L37" s="167"/>
      <c r="M37" s="168"/>
    </row>
    <row r="38" spans="1:13" ht="60" customHeight="1" thickBot="1" x14ac:dyDescent="0.3">
      <c r="A38" s="76" t="s">
        <v>30</v>
      </c>
      <c r="D38" s="169" t="s">
        <v>55</v>
      </c>
      <c r="E38" s="170"/>
      <c r="F38" s="170"/>
      <c r="G38" s="170"/>
      <c r="H38" s="170"/>
      <c r="I38" s="170"/>
      <c r="J38" s="170"/>
      <c r="K38" s="170"/>
      <c r="L38" s="170"/>
      <c r="M38" s="171"/>
    </row>
  </sheetData>
  <mergeCells count="17">
    <mergeCell ref="D2:M2"/>
    <mergeCell ref="F15:M17"/>
    <mergeCell ref="D26:M26"/>
    <mergeCell ref="D28:M28"/>
    <mergeCell ref="D29:E29"/>
    <mergeCell ref="F29:M29"/>
    <mergeCell ref="D30:E30"/>
    <mergeCell ref="F30:M30"/>
    <mergeCell ref="D31:E31"/>
    <mergeCell ref="F32:M32"/>
    <mergeCell ref="D34:E34"/>
    <mergeCell ref="F34:M34"/>
    <mergeCell ref="D35:E35"/>
    <mergeCell ref="F35:M35"/>
    <mergeCell ref="D36:M36"/>
    <mergeCell ref="D37:M37"/>
    <mergeCell ref="D38:M38"/>
  </mergeCells>
  <conditionalFormatting sqref="F6">
    <cfRule type="cellIs" dxfId="474" priority="5" operator="equal">
      <formula>"DELIVER"</formula>
    </cfRule>
  </conditionalFormatting>
  <conditionalFormatting sqref="D28">
    <cfRule type="cellIs" dxfId="473" priority="4" operator="equal">
      <formula>"DELIVER"</formula>
    </cfRule>
  </conditionalFormatting>
  <conditionalFormatting sqref="D2:M2">
    <cfRule type="expression" dxfId="472" priority="3">
      <formula>$F$6="DELIVER"</formula>
    </cfRule>
  </conditionalFormatting>
  <conditionalFormatting sqref="G6">
    <cfRule type="expression" dxfId="471" priority="2">
      <formula>$F$6="DELIVER"</formula>
    </cfRule>
  </conditionalFormatting>
  <conditionalFormatting sqref="D37">
    <cfRule type="expression" dxfId="47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1679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HARMONY COMMUNITY DEV. CORP  (026575P)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"026575P"</f>
        <v>026575P</v>
      </c>
      <c r="E4" s="101" t="s">
        <v>37</v>
      </c>
      <c r="F4" s="105" t="str">
        <f>C4</f>
        <v>026575P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1471</v>
      </c>
      <c r="E5" s="101" t="s">
        <v>36</v>
      </c>
      <c r="F5" s="112" t="s">
        <v>1192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1472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A108064|A108064|A108064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ITPN-207444|ITPN-207446|ITPN-207444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1471</v>
      </c>
      <c r="E12" s="74" t="s">
        <v>1466</v>
      </c>
      <c r="F12" s="74" t="s">
        <v>1467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Pick"",""2"",""ITPN-207446"""</f>
        <v>"Ceres NTFB Live","NTFB Live","5766","1","Invt. Pick","2","ITPN-207446"</v>
      </c>
      <c r="E13" s="74" t="s">
        <v>1466</v>
      </c>
      <c r="F13" s="74" t="s">
        <v>1468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1466</v>
      </c>
      <c r="E14" s="74" t="str">
        <f>E12</f>
        <v>A108064</v>
      </c>
      <c r="F14" s="74" t="str">
        <f>F12</f>
        <v>ITPN-207444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1469</v>
      </c>
      <c r="F15" s="92" t="s">
        <v>1470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96" t="s">
        <v>44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HARMONY COMMUNITY DEV. CORP  (026575P) - NO REF|EGGS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026575P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HARMONY COMMUNITY DEV. CORP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1466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249" priority="5" operator="equal">
      <formula>"DELIVER"</formula>
    </cfRule>
  </conditionalFormatting>
  <conditionalFormatting sqref="D29">
    <cfRule type="cellIs" dxfId="248" priority="4" operator="equal">
      <formula>"DELIVER"</formula>
    </cfRule>
  </conditionalFormatting>
  <conditionalFormatting sqref="D2:M2">
    <cfRule type="expression" dxfId="247" priority="3">
      <formula>$F$6="DELIVER"</formula>
    </cfRule>
  </conditionalFormatting>
  <conditionalFormatting sqref="G6">
    <cfRule type="expression" dxfId="246" priority="2">
      <formula>$F$6="DELIVER"</formula>
    </cfRule>
  </conditionalFormatting>
  <conditionalFormatting sqref="D38">
    <cfRule type="expression" dxfId="24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1681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IF(F32="","HIDESHEET","")</f>
        <v>HIDESHEET</v>
      </c>
      <c r="C2" s="74" t="s">
        <v>7</v>
      </c>
      <c r="D2" s="181" t="str">
        <f>IF(E32="",F5&amp;"  ("&amp;F4&amp;") - NO "&amp;C31,F5&amp;"  ("&amp;F4&amp;") - "&amp;C31&amp;" PICK LIST")</f>
        <v>CHRISTIAN BENEVOLENT OUTREACH  (026637P) - NO REF|EGGS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"026637P"</f>
        <v>026637P</v>
      </c>
      <c r="E4" s="101" t="s">
        <v>37</v>
      </c>
      <c r="F4" s="105" t="str">
        <f>C4</f>
        <v>026637P</v>
      </c>
      <c r="K4" s="101" t="s">
        <v>42</v>
      </c>
      <c r="L4" s="104"/>
      <c r="M4" s="111">
        <f>SUM(I32:I33)</f>
        <v>0</v>
      </c>
    </row>
    <row r="5" spans="1:26" ht="18" hidden="1" customHeight="1" x14ac:dyDescent="0.25">
      <c r="B5" s="76" t="str">
        <f t="shared" si="0"/>
        <v>Hide</v>
      </c>
      <c r="C5" s="109" t="s">
        <v>1476</v>
      </c>
      <c r="E5" s="101" t="s">
        <v>36</v>
      </c>
      <c r="F5" s="112" t="s">
        <v>1173</v>
      </c>
      <c r="K5" s="101" t="s">
        <v>43</v>
      </c>
      <c r="L5" s="104"/>
      <c r="M5" s="111">
        <f>ROUND(SUM(O32:O33),0)</f>
        <v>0</v>
      </c>
    </row>
    <row r="6" spans="1:26" ht="18" hidden="1" customHeight="1" x14ac:dyDescent="0.25">
      <c r="B6" s="76" t="str">
        <f t="shared" si="0"/>
        <v>Hide</v>
      </c>
      <c r="C6" s="109" t="s">
        <v>1477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ROUND(COUNT(O32:O33),0)</f>
        <v>0</v>
      </c>
      <c r="P6" s="101"/>
      <c r="W6" s="101" t="str">
        <f>"ESTIMATED "&amp;O31&amp;"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E22</f>
        <v>A107495|A107495|A107495|A107502|A107502|A107580|A107580|A107796|A107796|A107495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F22</f>
        <v>ITPN-207417|ITPN-207418|ITPN-207419|ITPN-207420|ITPN-207421|ITPN-207422|ITPN-207423|ITPN-207424|ITPN-207425|ITPN-207417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B21</f>
        <v>Hide</v>
      </c>
      <c r="C12" s="74" t="s">
        <v>1480</v>
      </c>
      <c r="E12" s="74" t="str">
        <f>"A107495"</f>
        <v>A107495</v>
      </c>
      <c r="F12" s="74" t="str">
        <f>"ITPN-207417"</f>
        <v>ITPN-207417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20" si="1">B22</f>
        <v>Hide</v>
      </c>
      <c r="C13" s="74" t="str">
        <f>"""Ceres NTFB Live"",""NTFB Live"",""5766"",""1"",""Invt. Pick"",""2"",""ITPN-207418"""</f>
        <v>"Ceres NTFB Live","NTFB Live","5766","1","Invt. Pick","2","ITPN-207418"</v>
      </c>
      <c r="E13" s="74" t="str">
        <f>"A107495"</f>
        <v>A107495</v>
      </c>
      <c r="F13" s="74" t="str">
        <f>"ITPN-207418"</f>
        <v>ITPN-207418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Pick"",""2"",""ITPN-207419"""</f>
        <v>"Ceres NTFB Live","NTFB Live","5766","1","Invt. Pick","2","ITPN-207419"</v>
      </c>
      <c r="E14" s="74" t="str">
        <f>"A107495"</f>
        <v>A107495</v>
      </c>
      <c r="F14" s="74" t="str">
        <f>"ITPN-207419"</f>
        <v>ITPN-207419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Pick"",""2"",""ITPN-207420"""</f>
        <v>"Ceres NTFB Live","NTFB Live","5766","1","Invt. Pick","2","ITPN-207420"</v>
      </c>
      <c r="E15" s="74" t="str">
        <f>"A107502"</f>
        <v>A107502</v>
      </c>
      <c r="F15" s="74" t="str">
        <f>"ITPN-207420"</f>
        <v>ITPN-207420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Pick"",""2"",""ITPN-207421"""</f>
        <v>"Ceres NTFB Live","NTFB Live","5766","1","Invt. Pick","2","ITPN-207421"</v>
      </c>
      <c r="E16" s="74" t="str">
        <f>"A107502"</f>
        <v>A107502</v>
      </c>
      <c r="F16" s="74" t="str">
        <f>"ITPN-207421"</f>
        <v>ITPN-207421</v>
      </c>
      <c r="I16" s="98"/>
      <c r="J16" s="98"/>
      <c r="K16" s="98"/>
      <c r="L16" s="98"/>
      <c r="M16" s="98"/>
    </row>
    <row r="17" spans="1:17" hidden="1" x14ac:dyDescent="0.25">
      <c r="A17" s="74" t="s">
        <v>173</v>
      </c>
      <c r="B17" s="76" t="str">
        <f t="shared" si="1"/>
        <v>Hide</v>
      </c>
      <c r="C17" s="74" t="str">
        <f>"""Ceres NTFB Live"",""NTFB Live"",""5766"",""1"",""Invt. Pick"",""2"",""ITPN-207422"""</f>
        <v>"Ceres NTFB Live","NTFB Live","5766","1","Invt. Pick","2","ITPN-207422"</v>
      </c>
      <c r="E17" s="74" t="str">
        <f>"A107580"</f>
        <v>A107580</v>
      </c>
      <c r="F17" s="74" t="str">
        <f>"ITPN-207422"</f>
        <v>ITPN-207422</v>
      </c>
      <c r="I17" s="98"/>
      <c r="J17" s="98"/>
      <c r="K17" s="98"/>
      <c r="L17" s="98"/>
      <c r="M17" s="98"/>
    </row>
    <row r="18" spans="1:17" hidden="1" x14ac:dyDescent="0.25">
      <c r="A18" s="74" t="s">
        <v>173</v>
      </c>
      <c r="B18" s="76" t="str">
        <f t="shared" si="1"/>
        <v>Hide</v>
      </c>
      <c r="C18" s="74" t="str">
        <f>"""Ceres NTFB Live"",""NTFB Live"",""5766"",""1"",""Invt. Pick"",""2"",""ITPN-207423"""</f>
        <v>"Ceres NTFB Live","NTFB Live","5766","1","Invt. Pick","2","ITPN-207423"</v>
      </c>
      <c r="E18" s="74" t="str">
        <f>"A107580"</f>
        <v>A107580</v>
      </c>
      <c r="F18" s="74" t="str">
        <f>"ITPN-207423"</f>
        <v>ITPN-207423</v>
      </c>
      <c r="I18" s="98"/>
      <c r="J18" s="98"/>
      <c r="K18" s="98"/>
      <c r="L18" s="98"/>
      <c r="M18" s="98"/>
    </row>
    <row r="19" spans="1:17" hidden="1" x14ac:dyDescent="0.25">
      <c r="A19" s="74" t="s">
        <v>173</v>
      </c>
      <c r="B19" s="76" t="str">
        <f t="shared" si="1"/>
        <v>Hide</v>
      </c>
      <c r="C19" s="74" t="str">
        <f>"""Ceres NTFB Live"",""NTFB Live"",""5766"",""1"",""Invt. Pick"",""2"",""ITPN-207424"""</f>
        <v>"Ceres NTFB Live","NTFB Live","5766","1","Invt. Pick","2","ITPN-207424"</v>
      </c>
      <c r="E19" s="74" t="str">
        <f>"A107796"</f>
        <v>A107796</v>
      </c>
      <c r="F19" s="74" t="str">
        <f>"ITPN-207424"</f>
        <v>ITPN-207424</v>
      </c>
      <c r="I19" s="98"/>
      <c r="J19" s="98"/>
      <c r="K19" s="98"/>
      <c r="L19" s="98"/>
      <c r="M19" s="98"/>
    </row>
    <row r="20" spans="1:17" hidden="1" x14ac:dyDescent="0.25">
      <c r="A20" s="74" t="s">
        <v>173</v>
      </c>
      <c r="B20" s="76" t="str">
        <f t="shared" si="1"/>
        <v>Hide</v>
      </c>
      <c r="C20" s="74" t="str">
        <f>"""Ceres NTFB Live"",""NTFB Live"",""5766"",""1"",""Invt. Pick"",""2"",""ITPN-207425"""</f>
        <v>"Ceres NTFB Live","NTFB Live","5766","1","Invt. Pick","2","ITPN-207425"</v>
      </c>
      <c r="E20" s="74" t="str">
        <f>"A107796"</f>
        <v>A107796</v>
      </c>
      <c r="F20" s="74" t="str">
        <f>"ITPN-207425"</f>
        <v>ITPN-207425</v>
      </c>
      <c r="I20" s="98"/>
      <c r="J20" s="98"/>
      <c r="K20" s="98"/>
      <c r="L20" s="98"/>
      <c r="M20" s="98"/>
    </row>
    <row r="21" spans="1:17" hidden="1" x14ac:dyDescent="0.25">
      <c r="A21" s="74" t="s">
        <v>6</v>
      </c>
      <c r="B21" s="76" t="str">
        <f t="shared" ref="B21:B31" si="2">B22</f>
        <v>Hide</v>
      </c>
      <c r="C21" s="74" t="s">
        <v>1481</v>
      </c>
      <c r="E21" s="74" t="str">
        <f>E12</f>
        <v>A107495</v>
      </c>
      <c r="F21" s="74" t="str">
        <f>F12</f>
        <v>ITPN-207417</v>
      </c>
      <c r="I21" s="98"/>
      <c r="J21" s="98"/>
      <c r="K21" s="98"/>
      <c r="L21" s="98"/>
      <c r="M21" s="98"/>
    </row>
    <row r="22" spans="1:17" hidden="1" x14ac:dyDescent="0.25">
      <c r="A22" s="74" t="s">
        <v>6</v>
      </c>
      <c r="B22" s="76" t="str">
        <f t="shared" si="2"/>
        <v>Hide</v>
      </c>
      <c r="E22" s="92" t="s">
        <v>1479</v>
      </c>
      <c r="F22" s="92" t="s">
        <v>1478</v>
      </c>
      <c r="I22" s="98"/>
      <c r="J22" s="98"/>
      <c r="K22" s="98"/>
      <c r="L22" s="98"/>
      <c r="M22" s="98"/>
    </row>
    <row r="23" spans="1:17" hidden="1" x14ac:dyDescent="0.25">
      <c r="B23" s="76" t="str">
        <f t="shared" si="2"/>
        <v>Hide</v>
      </c>
      <c r="E23" s="101" t="s">
        <v>20</v>
      </c>
      <c r="F23" s="184" t="s">
        <v>179</v>
      </c>
      <c r="G23" s="185"/>
      <c r="H23" s="185"/>
      <c r="I23" s="185"/>
      <c r="J23" s="185"/>
      <c r="K23" s="185"/>
      <c r="L23" s="185"/>
      <c r="M23" s="186"/>
    </row>
    <row r="24" spans="1:17" hidden="1" x14ac:dyDescent="0.25">
      <c r="B24" s="76" t="str">
        <f t="shared" si="2"/>
        <v>Hide</v>
      </c>
      <c r="F24" s="187"/>
      <c r="G24" s="188"/>
      <c r="H24" s="188"/>
      <c r="I24" s="188"/>
      <c r="J24" s="188"/>
      <c r="K24" s="188"/>
      <c r="L24" s="188"/>
      <c r="M24" s="189"/>
    </row>
    <row r="25" spans="1:17" ht="15.75" hidden="1" thickBot="1" x14ac:dyDescent="0.3">
      <c r="B25" s="76" t="str">
        <f t="shared" si="2"/>
        <v>Hide</v>
      </c>
      <c r="F25" s="190"/>
      <c r="G25" s="191"/>
      <c r="H25" s="191"/>
      <c r="I25" s="191"/>
      <c r="J25" s="191"/>
      <c r="K25" s="191"/>
      <c r="L25" s="191"/>
      <c r="M25" s="192"/>
    </row>
    <row r="26" spans="1:17" hidden="1" x14ac:dyDescent="0.25">
      <c r="B26" s="76" t="str">
        <f t="shared" si="2"/>
        <v>Hide</v>
      </c>
    </row>
    <row r="27" spans="1:17" hidden="1" x14ac:dyDescent="0.25">
      <c r="B27" s="76" t="str">
        <f t="shared" si="2"/>
        <v>Hide</v>
      </c>
      <c r="E27" s="101" t="s">
        <v>33</v>
      </c>
      <c r="F27" s="100"/>
      <c r="G27" s="102"/>
      <c r="H27" s="101" t="s">
        <v>53</v>
      </c>
      <c r="I27" s="100"/>
      <c r="J27" s="100"/>
      <c r="K27" s="100"/>
    </row>
    <row r="28" spans="1:17" hidden="1" x14ac:dyDescent="0.25">
      <c r="B28" s="76" t="str">
        <f t="shared" si="2"/>
        <v>Hide</v>
      </c>
      <c r="E28" s="101"/>
    </row>
    <row r="29" spans="1:17" hidden="1" x14ac:dyDescent="0.25">
      <c r="B29" s="76" t="str">
        <f t="shared" si="2"/>
        <v>Hide</v>
      </c>
      <c r="E29" s="101" t="s">
        <v>32</v>
      </c>
      <c r="F29" s="100"/>
      <c r="G29" s="102"/>
      <c r="H29" s="101" t="s">
        <v>54</v>
      </c>
      <c r="I29" s="100"/>
      <c r="J29" s="100"/>
      <c r="K29" s="100"/>
    </row>
    <row r="30" spans="1:17" hidden="1" x14ac:dyDescent="0.25">
      <c r="B30" s="76" t="str">
        <f t="shared" si="2"/>
        <v>Hide</v>
      </c>
      <c r="C30" s="74" t="s">
        <v>52</v>
      </c>
      <c r="D30" s="74" t="s">
        <v>52</v>
      </c>
      <c r="F30" s="99"/>
      <c r="I30" s="98"/>
      <c r="J30" s="98"/>
      <c r="K30" s="98"/>
      <c r="L30" s="98"/>
      <c r="M30" s="98"/>
    </row>
    <row r="31" spans="1:17" s="75" customFormat="1" ht="15.95" hidden="1" customHeight="1" x14ac:dyDescent="0.25">
      <c r="A31" s="97"/>
      <c r="B31" s="76" t="str">
        <f t="shared" si="2"/>
        <v>Hide</v>
      </c>
      <c r="C31" s="96" t="s">
        <v>44</v>
      </c>
      <c r="D31" s="94" t="s">
        <v>28</v>
      </c>
      <c r="E31" s="94" t="s">
        <v>26</v>
      </c>
      <c r="F31" s="94" t="s">
        <v>29</v>
      </c>
      <c r="G31" s="94" t="s">
        <v>57</v>
      </c>
      <c r="H31" s="94" t="s">
        <v>27</v>
      </c>
      <c r="I31" s="94" t="s">
        <v>25</v>
      </c>
      <c r="J31" s="94" t="s">
        <v>10</v>
      </c>
      <c r="K31" s="94" t="s">
        <v>24</v>
      </c>
      <c r="L31" s="95"/>
      <c r="M31" s="94" t="s">
        <v>31</v>
      </c>
      <c r="N31" s="93" t="s">
        <v>21</v>
      </c>
      <c r="O31" s="93" t="s">
        <v>22</v>
      </c>
      <c r="P31" s="93" t="s">
        <v>23</v>
      </c>
      <c r="Q31" s="93"/>
    </row>
    <row r="32" spans="1:17" ht="24.95" hidden="1" customHeight="1" x14ac:dyDescent="0.25">
      <c r="B32" s="92" t="str">
        <f>IF(I32="","Hide","Show")</f>
        <v>Hide</v>
      </c>
      <c r="C32" s="74" t="s">
        <v>179</v>
      </c>
      <c r="D32" s="89" t="s">
        <v>179</v>
      </c>
      <c r="E32" s="89" t="s">
        <v>179</v>
      </c>
      <c r="F32" s="89" t="s">
        <v>179</v>
      </c>
      <c r="G32" s="91" t="s">
        <v>180</v>
      </c>
      <c r="H32" s="90" t="s">
        <v>179</v>
      </c>
      <c r="I32" s="89" t="s">
        <v>179</v>
      </c>
      <c r="J32" s="89" t="s">
        <v>179</v>
      </c>
      <c r="K32" s="88"/>
      <c r="L32" s="87"/>
      <c r="M32" s="87"/>
      <c r="N32" s="85" t="s">
        <v>179</v>
      </c>
      <c r="O32" s="85" t="s">
        <v>179</v>
      </c>
      <c r="P32" s="85" t="s">
        <v>179</v>
      </c>
      <c r="Q32" s="86" t="s">
        <v>56</v>
      </c>
    </row>
    <row r="33" spans="1:16" hidden="1" x14ac:dyDescent="0.25">
      <c r="B33" s="74" t="str">
        <f>B32</f>
        <v>Hide</v>
      </c>
      <c r="H33" s="85"/>
      <c r="I33" s="85"/>
    </row>
    <row r="34" spans="1:16" ht="15.75" hidden="1" thickBot="1" x14ac:dyDescent="0.3">
      <c r="B34" s="74" t="str">
        <f>+B33</f>
        <v>Hide</v>
      </c>
      <c r="D34" s="193" t="str">
        <f>+"END OF "&amp;D2</f>
        <v>END OF CHRISTIAN BENEVOLENT OUTREACH  (026637P) - NO REF|EGGS</v>
      </c>
      <c r="E34" s="194"/>
      <c r="F34" s="194"/>
      <c r="G34" s="194"/>
      <c r="H34" s="194"/>
      <c r="I34" s="194"/>
      <c r="J34" s="194"/>
      <c r="K34" s="194"/>
      <c r="L34" s="194"/>
      <c r="M34" s="195"/>
    </row>
    <row r="35" spans="1:16" ht="15.75" thickBot="1" x14ac:dyDescent="0.3"/>
    <row r="36" spans="1:16" ht="80.099999999999994" customHeight="1" thickBot="1" x14ac:dyDescent="0.3">
      <c r="A36" s="76" t="s">
        <v>30</v>
      </c>
      <c r="D36" s="166" t="str">
        <f>+F6</f>
        <v>DELIVER</v>
      </c>
      <c r="E36" s="167"/>
      <c r="F36" s="167"/>
      <c r="G36" s="167"/>
      <c r="H36" s="167"/>
      <c r="I36" s="167"/>
      <c r="J36" s="167"/>
      <c r="K36" s="167"/>
      <c r="L36" s="167"/>
      <c r="M36" s="168"/>
    </row>
    <row r="37" spans="1:16" ht="36.75" x14ac:dyDescent="0.45">
      <c r="A37" s="76" t="s">
        <v>30</v>
      </c>
      <c r="D37" s="176" t="s">
        <v>12</v>
      </c>
      <c r="E37" s="177"/>
      <c r="F37" s="196" t="str">
        <f>+F4</f>
        <v>026637P</v>
      </c>
      <c r="G37" s="196"/>
      <c r="H37" s="196"/>
      <c r="I37" s="196"/>
      <c r="J37" s="196"/>
      <c r="K37" s="196"/>
      <c r="L37" s="196"/>
      <c r="M37" s="197"/>
    </row>
    <row r="38" spans="1:16" ht="37.5" customHeight="1" thickBot="1" x14ac:dyDescent="0.5">
      <c r="A38" s="76" t="s">
        <v>30</v>
      </c>
      <c r="D38" s="158" t="s">
        <v>5</v>
      </c>
      <c r="E38" s="159"/>
      <c r="F38" s="161" t="str">
        <f>+F5</f>
        <v>CHRISTIAN BENEVOLENT OUTREACH</v>
      </c>
      <c r="G38" s="161"/>
      <c r="H38" s="161"/>
      <c r="I38" s="161"/>
      <c r="J38" s="161"/>
      <c r="K38" s="161"/>
      <c r="L38" s="161"/>
      <c r="M38" s="162"/>
      <c r="N38" s="84"/>
      <c r="O38" s="84"/>
      <c r="P38" s="84"/>
    </row>
    <row r="39" spans="1:16" ht="33.75" hidden="1" thickBot="1" x14ac:dyDescent="0.45">
      <c r="A39" s="76" t="s">
        <v>19</v>
      </c>
      <c r="D39" s="172" t="s">
        <v>49</v>
      </c>
      <c r="E39" s="173"/>
      <c r="F39" s="82"/>
      <c r="G39" s="83"/>
      <c r="H39" s="82"/>
      <c r="I39" s="82"/>
      <c r="J39" s="82"/>
      <c r="K39" s="82"/>
      <c r="L39" s="82"/>
      <c r="M39" s="81"/>
    </row>
    <row r="40" spans="1:16" ht="30" hidden="1" customHeight="1" x14ac:dyDescent="0.25">
      <c r="A40" s="76" t="s">
        <v>19</v>
      </c>
      <c r="D40" s="80"/>
      <c r="E40" s="78"/>
      <c r="F40" s="174" t="s">
        <v>1481</v>
      </c>
      <c r="G40" s="174"/>
      <c r="H40" s="174"/>
      <c r="I40" s="174"/>
      <c r="J40" s="174"/>
      <c r="K40" s="174"/>
      <c r="L40" s="174"/>
      <c r="M40" s="175"/>
    </row>
    <row r="41" spans="1:16" ht="30" hidden="1" customHeight="1" x14ac:dyDescent="0.25">
      <c r="A41" s="76" t="s">
        <v>184</v>
      </c>
      <c r="D41" s="80"/>
      <c r="E41" s="78"/>
      <c r="F41" s="174" t="str">
        <f>"A107502"</f>
        <v>A107502</v>
      </c>
      <c r="G41" s="174"/>
      <c r="H41" s="174"/>
      <c r="I41" s="174"/>
      <c r="J41" s="174"/>
      <c r="K41" s="174"/>
      <c r="L41" s="174"/>
      <c r="M41" s="175"/>
    </row>
    <row r="42" spans="1:16" ht="30" hidden="1" customHeight="1" x14ac:dyDescent="0.25">
      <c r="A42" s="76" t="s">
        <v>184</v>
      </c>
      <c r="D42" s="80"/>
      <c r="E42" s="78"/>
      <c r="F42" s="174" t="str">
        <f>"A107580"</f>
        <v>A107580</v>
      </c>
      <c r="G42" s="174"/>
      <c r="H42" s="174"/>
      <c r="I42" s="174"/>
      <c r="J42" s="174"/>
      <c r="K42" s="174"/>
      <c r="L42" s="174"/>
      <c r="M42" s="175"/>
    </row>
    <row r="43" spans="1:16" ht="30" hidden="1" customHeight="1" x14ac:dyDescent="0.25">
      <c r="A43" s="76" t="s">
        <v>184</v>
      </c>
      <c r="D43" s="80"/>
      <c r="E43" s="78"/>
      <c r="F43" s="174" t="str">
        <f>"A107796"</f>
        <v>A107796</v>
      </c>
      <c r="G43" s="174"/>
      <c r="H43" s="174"/>
      <c r="I43" s="174"/>
      <c r="J43" s="174"/>
      <c r="K43" s="174"/>
      <c r="L43" s="174"/>
      <c r="M43" s="175"/>
    </row>
    <row r="44" spans="1:16" ht="15.75" hidden="1" customHeight="1" thickBot="1" x14ac:dyDescent="0.3">
      <c r="A44" s="76" t="s">
        <v>19</v>
      </c>
      <c r="D44" s="80"/>
      <c r="E44" s="78"/>
      <c r="F44" s="78"/>
      <c r="G44" s="79"/>
      <c r="H44" s="78"/>
      <c r="I44" s="78"/>
      <c r="J44" s="78"/>
      <c r="K44" s="78"/>
      <c r="L44" s="78"/>
      <c r="M44" s="77"/>
    </row>
    <row r="45" spans="1:16" ht="36.75" x14ac:dyDescent="0.45">
      <c r="A45" s="76" t="s">
        <v>30</v>
      </c>
      <c r="D45" s="176" t="s">
        <v>50</v>
      </c>
      <c r="E45" s="177"/>
      <c r="F45" s="178">
        <f>+F7</f>
        <v>42612</v>
      </c>
      <c r="G45" s="179"/>
      <c r="H45" s="179"/>
      <c r="I45" s="179"/>
      <c r="J45" s="179"/>
      <c r="K45" s="179"/>
      <c r="L45" s="179"/>
      <c r="M45" s="180"/>
    </row>
    <row r="46" spans="1:16" ht="37.5" thickBot="1" x14ac:dyDescent="0.5">
      <c r="A46" s="76" t="s">
        <v>30</v>
      </c>
      <c r="D46" s="158" t="s">
        <v>32</v>
      </c>
      <c r="E46" s="159"/>
      <c r="F46" s="160"/>
      <c r="G46" s="161"/>
      <c r="H46" s="161"/>
      <c r="I46" s="161"/>
      <c r="J46" s="161"/>
      <c r="K46" s="161"/>
      <c r="L46" s="161"/>
      <c r="M46" s="162"/>
    </row>
    <row r="47" spans="1:16" ht="80.099999999999994" customHeight="1" thickBot="1" x14ac:dyDescent="0.3">
      <c r="A47" s="76" t="s">
        <v>30</v>
      </c>
      <c r="D47" s="163" t="s">
        <v>51</v>
      </c>
      <c r="E47" s="164"/>
      <c r="F47" s="164"/>
      <c r="G47" s="164"/>
      <c r="H47" s="164"/>
      <c r="I47" s="164"/>
      <c r="J47" s="164"/>
      <c r="K47" s="164"/>
      <c r="L47" s="164"/>
      <c r="M47" s="165"/>
    </row>
    <row r="48" spans="1:16" ht="90" customHeight="1" thickBot="1" x14ac:dyDescent="0.3">
      <c r="A48" s="76" t="s">
        <v>30</v>
      </c>
      <c r="D48" s="166" t="str">
        <f>IF(F6="DELIVER",G6,F6)</f>
        <v>COLLIN 1</v>
      </c>
      <c r="E48" s="167"/>
      <c r="F48" s="167"/>
      <c r="G48" s="167"/>
      <c r="H48" s="167"/>
      <c r="I48" s="167"/>
      <c r="J48" s="167"/>
      <c r="K48" s="167"/>
      <c r="L48" s="167"/>
      <c r="M48" s="168"/>
    </row>
    <row r="49" spans="1:13" ht="60" customHeight="1" thickBot="1" x14ac:dyDescent="0.3">
      <c r="A49" s="76" t="s">
        <v>30</v>
      </c>
      <c r="D49" s="169" t="s">
        <v>55</v>
      </c>
      <c r="E49" s="170"/>
      <c r="F49" s="170"/>
      <c r="G49" s="170"/>
      <c r="H49" s="170"/>
      <c r="I49" s="170"/>
      <c r="J49" s="170"/>
      <c r="K49" s="170"/>
      <c r="L49" s="170"/>
      <c r="M49" s="171"/>
    </row>
  </sheetData>
  <mergeCells count="20">
    <mergeCell ref="D45:E45"/>
    <mergeCell ref="F45:M45"/>
    <mergeCell ref="D2:M2"/>
    <mergeCell ref="F23:M25"/>
    <mergeCell ref="D34:M34"/>
    <mergeCell ref="D36:M36"/>
    <mergeCell ref="D37:E37"/>
    <mergeCell ref="F37:M37"/>
    <mergeCell ref="F41:M41"/>
    <mergeCell ref="F42:M42"/>
    <mergeCell ref="F43:M43"/>
    <mergeCell ref="D38:E38"/>
    <mergeCell ref="F38:M38"/>
    <mergeCell ref="D39:E39"/>
    <mergeCell ref="F40:M40"/>
    <mergeCell ref="D46:E46"/>
    <mergeCell ref="F46:M46"/>
    <mergeCell ref="D47:M47"/>
    <mergeCell ref="D48:M48"/>
    <mergeCell ref="D49:M49"/>
  </mergeCells>
  <conditionalFormatting sqref="F6">
    <cfRule type="cellIs" dxfId="244" priority="5" operator="equal">
      <formula>"DELIVER"</formula>
    </cfRule>
  </conditionalFormatting>
  <conditionalFormatting sqref="D36">
    <cfRule type="cellIs" dxfId="243" priority="4" operator="equal">
      <formula>"DELIVER"</formula>
    </cfRule>
  </conditionalFormatting>
  <conditionalFormatting sqref="D2:M2">
    <cfRule type="expression" dxfId="242" priority="3">
      <formula>$F$6="DELIVER"</formula>
    </cfRule>
  </conditionalFormatting>
  <conditionalFormatting sqref="G6">
    <cfRule type="expression" dxfId="241" priority="2">
      <formula>$F$6="DELIVER"</formula>
    </cfRule>
  </conditionalFormatting>
  <conditionalFormatting sqref="D48">
    <cfRule type="expression" dxfId="24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4" max="16383" man="1"/>
  </rowBreak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1" hidden="1" customWidth="1"/>
    <col min="2" max="2" width="7.140625" style="1" hidden="1" customWidth="1"/>
    <col min="3" max="3" width="66.140625" style="1" hidden="1" customWidth="1"/>
    <col min="4" max="4" width="10.7109375" style="1" customWidth="1"/>
    <col min="5" max="6" width="12.7109375" style="1" customWidth="1"/>
    <col min="7" max="7" width="12.7109375" style="4" customWidth="1"/>
    <col min="8" max="8" width="48.7109375" style="1" customWidth="1"/>
    <col min="9" max="9" width="5.7109375" style="1" customWidth="1"/>
    <col min="10" max="10" width="6.85546875" style="1" customWidth="1"/>
    <col min="11" max="11" width="9.7109375" style="1" customWidth="1"/>
    <col min="12" max="12" width="1.140625" style="1" hidden="1" customWidth="1"/>
    <col min="13" max="13" width="11.42578125" style="1" customWidth="1"/>
    <col min="14" max="14" width="5.85546875" style="1" hidden="1" customWidth="1"/>
    <col min="15" max="15" width="8" style="1" hidden="1" customWidth="1"/>
    <col min="16" max="16" width="8.5703125" style="1" hidden="1" customWidth="1"/>
    <col min="17" max="17" width="9.5703125" style="1" hidden="1" customWidth="1"/>
    <col min="18" max="18" width="6.7109375" style="1" hidden="1" customWidth="1"/>
    <col min="19" max="19" width="9.140625" style="1" hidden="1" customWidth="1"/>
    <col min="20" max="20" width="9.42578125" style="1" hidden="1" customWidth="1"/>
    <col min="21" max="26" width="9.140625" style="1" hidden="1" customWidth="1"/>
    <col min="27" max="16384" width="9.140625" style="1"/>
  </cols>
  <sheetData>
    <row r="1" spans="1:26" ht="15.75" hidden="1" thickBot="1" x14ac:dyDescent="0.3">
      <c r="A1" s="1" t="s">
        <v>1683</v>
      </c>
      <c r="B1" s="1" t="s">
        <v>11</v>
      </c>
      <c r="C1" s="1" t="s">
        <v>6</v>
      </c>
      <c r="D1" s="1" t="s">
        <v>30</v>
      </c>
      <c r="E1" s="1" t="s">
        <v>30</v>
      </c>
      <c r="F1" s="1" t="s">
        <v>30</v>
      </c>
      <c r="G1" s="4" t="s">
        <v>30</v>
      </c>
      <c r="H1" s="1" t="s">
        <v>30</v>
      </c>
      <c r="I1" s="1" t="s">
        <v>30</v>
      </c>
      <c r="J1" s="1" t="s">
        <v>30</v>
      </c>
      <c r="K1" s="1" t="s">
        <v>30</v>
      </c>
      <c r="L1" s="1" t="s">
        <v>19</v>
      </c>
      <c r="M1" s="1" t="s">
        <v>30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  <c r="S1" s="1" t="s">
        <v>19</v>
      </c>
      <c r="T1" s="1" t="s">
        <v>19</v>
      </c>
      <c r="U1" s="1" t="s">
        <v>19</v>
      </c>
      <c r="V1" s="1" t="s">
        <v>19</v>
      </c>
      <c r="W1" s="1" t="s">
        <v>19</v>
      </c>
      <c r="X1" s="1" t="s">
        <v>19</v>
      </c>
      <c r="Y1" s="1" t="s">
        <v>19</v>
      </c>
      <c r="Z1" s="1" t="s">
        <v>19</v>
      </c>
    </row>
    <row r="2" spans="1:26" ht="30" customHeight="1" thickBot="1" x14ac:dyDescent="0.35">
      <c r="A2" s="1" t="s">
        <v>30</v>
      </c>
      <c r="B2" s="15" t="str">
        <f>IF(F24="","HIDESHEET","")</f>
        <v>HIDESHEET</v>
      </c>
      <c r="C2" s="1" t="s">
        <v>7</v>
      </c>
      <c r="D2" s="137" t="str">
        <f>IF(E24="",F5&amp;"  ("&amp;F4&amp;") - NO "&amp;C23,F5&amp;"  ("&amp;F4&amp;") - "&amp;C23&amp;" PICK LIST")</f>
        <v>DALLAS LIFE FOUNDATION  (001042RA) - NO FRZ</v>
      </c>
      <c r="E2" s="138"/>
      <c r="F2" s="138"/>
      <c r="G2" s="138"/>
      <c r="H2" s="138"/>
      <c r="I2" s="138"/>
      <c r="J2" s="138"/>
      <c r="K2" s="138"/>
      <c r="L2" s="138"/>
      <c r="M2" s="139"/>
      <c r="N2" s="11"/>
      <c r="O2" s="11"/>
      <c r="P2" s="11"/>
      <c r="Q2" s="11"/>
      <c r="R2" s="11"/>
    </row>
    <row r="3" spans="1:26" ht="11.25" hidden="1" customHeight="1" x14ac:dyDescent="0.3">
      <c r="A3" s="1" t="s">
        <v>6</v>
      </c>
      <c r="B3" s="15" t="str">
        <f t="shared" ref="B3:B23" si="0">B4</f>
        <v>Hide</v>
      </c>
      <c r="D3" s="6"/>
      <c r="E3" s="6"/>
      <c r="F3" s="6"/>
      <c r="G3" s="42"/>
      <c r="H3" s="6"/>
      <c r="I3" s="6"/>
      <c r="J3" s="6"/>
      <c r="K3" s="6"/>
      <c r="L3" s="6"/>
    </row>
    <row r="4" spans="1:26" ht="18" hidden="1" customHeight="1" x14ac:dyDescent="0.25">
      <c r="B4" s="15" t="str">
        <f t="shared" si="0"/>
        <v>Hide</v>
      </c>
      <c r="C4" t="s">
        <v>1206</v>
      </c>
      <c r="E4" s="12" t="s">
        <v>37</v>
      </c>
      <c r="F4" s="27" t="str">
        <f>C4</f>
        <v>001042RA</v>
      </c>
      <c r="K4" s="12" t="s">
        <v>42</v>
      </c>
      <c r="L4" s="5"/>
      <c r="M4" s="33">
        <f>SUM(I24:I25)</f>
        <v>0</v>
      </c>
    </row>
    <row r="5" spans="1:26" ht="18" hidden="1" customHeight="1" x14ac:dyDescent="0.25">
      <c r="B5" s="15" t="str">
        <f t="shared" si="0"/>
        <v>Hide</v>
      </c>
      <c r="C5" s="10" t="s">
        <v>1201</v>
      </c>
      <c r="E5" s="12" t="s">
        <v>36</v>
      </c>
      <c r="F5" s="28" t="s">
        <v>1185</v>
      </c>
      <c r="K5" s="12" t="s">
        <v>43</v>
      </c>
      <c r="L5" s="5"/>
      <c r="M5" s="33">
        <f>ROUND(SUM(O24:O25),0)</f>
        <v>0</v>
      </c>
    </row>
    <row r="6" spans="1:26" ht="18" hidden="1" customHeight="1" x14ac:dyDescent="0.25">
      <c r="B6" s="15" t="str">
        <f t="shared" si="0"/>
        <v>Hide</v>
      </c>
      <c r="C6" s="10" t="s">
        <v>1207</v>
      </c>
      <c r="E6" s="12" t="s">
        <v>38</v>
      </c>
      <c r="F6" s="27" t="s">
        <v>61</v>
      </c>
      <c r="G6" s="43" t="s">
        <v>179</v>
      </c>
      <c r="I6" s="10"/>
      <c r="J6" s="10"/>
      <c r="K6" s="47" t="s">
        <v>58</v>
      </c>
      <c r="L6" s="47"/>
      <c r="M6" s="48">
        <f>ROUND(COUNT(O24:O25),0)</f>
        <v>0</v>
      </c>
      <c r="P6" s="12"/>
      <c r="W6" s="12" t="str">
        <f>"ESTIMATED "&amp;O23&amp;" PALLETS:"</f>
        <v>ESTIMATED LBS PALLETS:</v>
      </c>
    </row>
    <row r="7" spans="1:26" ht="18" hidden="1" customHeight="1" x14ac:dyDescent="0.25">
      <c r="B7" s="15" t="str">
        <f t="shared" si="0"/>
        <v>Hide</v>
      </c>
      <c r="E7" s="12" t="s">
        <v>39</v>
      </c>
      <c r="F7" s="29">
        <v>42612</v>
      </c>
      <c r="K7" s="12"/>
      <c r="M7" s="30"/>
      <c r="P7" s="12"/>
      <c r="W7" s="12" t="s">
        <v>46</v>
      </c>
    </row>
    <row r="8" spans="1:26" ht="15" hidden="1" customHeight="1" x14ac:dyDescent="0.25">
      <c r="A8" s="1" t="s">
        <v>6</v>
      </c>
      <c r="B8" s="15" t="str">
        <f t="shared" si="0"/>
        <v>Hide</v>
      </c>
      <c r="E8" s="12" t="s">
        <v>40</v>
      </c>
      <c r="F8" s="27" t="str">
        <f>E14</f>
        <v>A105108|A105108</v>
      </c>
      <c r="K8" s="12"/>
      <c r="L8" s="5"/>
      <c r="P8" s="12"/>
      <c r="W8" s="12" t="s">
        <v>47</v>
      </c>
    </row>
    <row r="9" spans="1:26" ht="15" hidden="1" customHeight="1" x14ac:dyDescent="0.25">
      <c r="A9" s="1" t="s">
        <v>6</v>
      </c>
      <c r="B9" s="15" t="str">
        <f t="shared" si="0"/>
        <v>Hide</v>
      </c>
      <c r="E9" s="12" t="s">
        <v>41</v>
      </c>
      <c r="F9" s="27" t="str">
        <f>F14</f>
        <v>ITPN-207416|ITPN-207416</v>
      </c>
      <c r="K9" s="12"/>
      <c r="L9" s="5"/>
      <c r="M9" s="13"/>
      <c r="P9" s="12"/>
      <c r="W9" s="12" t="s">
        <v>48</v>
      </c>
    </row>
    <row r="10" spans="1:26" ht="15" hidden="1" customHeight="1" x14ac:dyDescent="0.25">
      <c r="A10" s="1" t="s">
        <v>6</v>
      </c>
      <c r="B10" s="15" t="str">
        <f t="shared" si="0"/>
        <v>Hide</v>
      </c>
    </row>
    <row r="11" spans="1:26" ht="15.75" hidden="1" customHeight="1" x14ac:dyDescent="0.25">
      <c r="A11" s="1" t="s">
        <v>6</v>
      </c>
      <c r="B11" s="15" t="str">
        <f t="shared" si="0"/>
        <v>Hide</v>
      </c>
      <c r="E11" s="1" t="s">
        <v>8</v>
      </c>
      <c r="F11" s="1" t="s">
        <v>9</v>
      </c>
      <c r="H11" s="12"/>
      <c r="I11" s="20"/>
      <c r="J11" s="20"/>
      <c r="K11" s="20"/>
      <c r="L11" s="20"/>
      <c r="M11" s="20"/>
    </row>
    <row r="12" spans="1:26" hidden="1" x14ac:dyDescent="0.25">
      <c r="A12" s="1" t="s">
        <v>6</v>
      </c>
      <c r="B12" s="15" t="str">
        <f t="shared" si="0"/>
        <v>Hide</v>
      </c>
      <c r="C12" s="1" t="s">
        <v>1201</v>
      </c>
      <c r="E12" s="1" t="s">
        <v>1202</v>
      </c>
      <c r="F12" s="1" t="s">
        <v>1203</v>
      </c>
      <c r="I12" s="20"/>
      <c r="J12" s="20"/>
      <c r="K12" s="20"/>
      <c r="L12" s="20"/>
      <c r="M12" s="20"/>
    </row>
    <row r="13" spans="1:26" hidden="1" x14ac:dyDescent="0.25">
      <c r="A13" s="1" t="s">
        <v>6</v>
      </c>
      <c r="B13" s="15" t="str">
        <f t="shared" si="0"/>
        <v>Hide</v>
      </c>
      <c r="C13" s="1" t="s">
        <v>1202</v>
      </c>
      <c r="E13" s="1" t="str">
        <f>E12</f>
        <v>A105108</v>
      </c>
      <c r="F13" s="1" t="str">
        <f>F12</f>
        <v>ITPN-207416</v>
      </c>
      <c r="I13" s="20"/>
      <c r="J13" s="20"/>
      <c r="K13" s="20"/>
      <c r="L13" s="20"/>
      <c r="M13" s="20"/>
    </row>
    <row r="14" spans="1:26" hidden="1" x14ac:dyDescent="0.25">
      <c r="A14" s="1" t="s">
        <v>6</v>
      </c>
      <c r="B14" s="15" t="str">
        <f t="shared" si="0"/>
        <v>Hide</v>
      </c>
      <c r="E14" s="8" t="s">
        <v>1204</v>
      </c>
      <c r="F14" s="8" t="s">
        <v>1205</v>
      </c>
      <c r="I14" s="20"/>
      <c r="J14" s="20"/>
      <c r="K14" s="20"/>
      <c r="L14" s="20"/>
      <c r="M14" s="20"/>
    </row>
    <row r="15" spans="1:26" hidden="1" x14ac:dyDescent="0.25">
      <c r="B15" s="15" t="str">
        <f t="shared" si="0"/>
        <v>Hide</v>
      </c>
      <c r="E15" s="12" t="s">
        <v>20</v>
      </c>
      <c r="F15" s="140" t="s">
        <v>179</v>
      </c>
      <c r="G15" s="141"/>
      <c r="H15" s="141"/>
      <c r="I15" s="141"/>
      <c r="J15" s="141"/>
      <c r="K15" s="141"/>
      <c r="L15" s="141"/>
      <c r="M15" s="142"/>
    </row>
    <row r="16" spans="1:26" hidden="1" x14ac:dyDescent="0.25">
      <c r="B16" s="15" t="str">
        <f t="shared" si="0"/>
        <v>Hide</v>
      </c>
      <c r="F16" s="143"/>
      <c r="G16" s="144"/>
      <c r="H16" s="144"/>
      <c r="I16" s="144"/>
      <c r="J16" s="144"/>
      <c r="K16" s="144"/>
      <c r="L16" s="144"/>
      <c r="M16" s="145"/>
    </row>
    <row r="17" spans="1:17" ht="15.75" hidden="1" thickBot="1" x14ac:dyDescent="0.3">
      <c r="B17" s="15" t="str">
        <f t="shared" si="0"/>
        <v>Hide</v>
      </c>
      <c r="F17" s="146"/>
      <c r="G17" s="147"/>
      <c r="H17" s="147"/>
      <c r="I17" s="147"/>
      <c r="J17" s="147"/>
      <c r="K17" s="147"/>
      <c r="L17" s="147"/>
      <c r="M17" s="148"/>
    </row>
    <row r="18" spans="1:17" hidden="1" x14ac:dyDescent="0.25">
      <c r="B18" s="15" t="str">
        <f t="shared" si="0"/>
        <v>Hide</v>
      </c>
    </row>
    <row r="19" spans="1:17" hidden="1" x14ac:dyDescent="0.25">
      <c r="B19" s="15" t="str">
        <f t="shared" si="0"/>
        <v>Hide</v>
      </c>
      <c r="E19" s="12" t="s">
        <v>33</v>
      </c>
      <c r="F19" s="3"/>
      <c r="G19" s="44"/>
      <c r="H19" s="12" t="s">
        <v>53</v>
      </c>
      <c r="I19" s="3"/>
      <c r="J19" s="3"/>
      <c r="K19" s="3"/>
    </row>
    <row r="20" spans="1:17" hidden="1" x14ac:dyDescent="0.25">
      <c r="B20" s="15" t="str">
        <f t="shared" si="0"/>
        <v>Hide</v>
      </c>
      <c r="E20" s="12"/>
    </row>
    <row r="21" spans="1:17" hidden="1" x14ac:dyDescent="0.25">
      <c r="B21" s="15" t="str">
        <f t="shared" si="0"/>
        <v>Hide</v>
      </c>
      <c r="E21" s="12" t="s">
        <v>32</v>
      </c>
      <c r="F21" s="3"/>
      <c r="G21" s="44"/>
      <c r="H21" s="12" t="s">
        <v>54</v>
      </c>
      <c r="I21" s="3"/>
      <c r="J21" s="3"/>
      <c r="K21" s="3"/>
    </row>
    <row r="22" spans="1:17" hidden="1" x14ac:dyDescent="0.25">
      <c r="B22" s="15" t="str">
        <f t="shared" si="0"/>
        <v>Hide</v>
      </c>
      <c r="C22" s="1" t="s">
        <v>52</v>
      </c>
      <c r="D22" s="1" t="s">
        <v>52</v>
      </c>
      <c r="F22" s="2"/>
      <c r="I22" s="20"/>
      <c r="J22" s="20"/>
      <c r="K22" s="20"/>
      <c r="L22" s="20"/>
      <c r="M22" s="20"/>
    </row>
    <row r="23" spans="1:17" s="4" customFormat="1" ht="15.95" hidden="1" customHeight="1" x14ac:dyDescent="0.25">
      <c r="A23" s="14"/>
      <c r="B23" s="15" t="str">
        <f t="shared" si="0"/>
        <v>Hide</v>
      </c>
      <c r="C23" s="16" t="s">
        <v>45</v>
      </c>
      <c r="D23" s="39" t="s">
        <v>28</v>
      </c>
      <c r="E23" s="39" t="s">
        <v>26</v>
      </c>
      <c r="F23" s="39" t="s">
        <v>29</v>
      </c>
      <c r="G23" s="39" t="s">
        <v>57</v>
      </c>
      <c r="H23" s="39" t="s">
        <v>27</v>
      </c>
      <c r="I23" s="39" t="s">
        <v>25</v>
      </c>
      <c r="J23" s="39" t="s">
        <v>10</v>
      </c>
      <c r="K23" s="39" t="s">
        <v>24</v>
      </c>
      <c r="L23" s="40"/>
      <c r="M23" s="39" t="s">
        <v>31</v>
      </c>
      <c r="N23" s="17" t="s">
        <v>21</v>
      </c>
      <c r="O23" s="17" t="s">
        <v>22</v>
      </c>
      <c r="P23" s="17" t="s">
        <v>23</v>
      </c>
      <c r="Q23" s="17"/>
    </row>
    <row r="24" spans="1:17" ht="24.95" hidden="1" customHeight="1" x14ac:dyDescent="0.25">
      <c r="B24" s="8" t="str">
        <f>IF(I24="","Hide","Show")</f>
        <v>Hide</v>
      </c>
      <c r="C24" s="1" t="s">
        <v>179</v>
      </c>
      <c r="D24" s="38" t="s">
        <v>179</v>
      </c>
      <c r="E24" s="38" t="s">
        <v>179</v>
      </c>
      <c r="F24" s="38" t="s">
        <v>179</v>
      </c>
      <c r="G24" s="41" t="s">
        <v>180</v>
      </c>
      <c r="H24" s="35" t="s">
        <v>179</v>
      </c>
      <c r="I24" s="38" t="s">
        <v>179</v>
      </c>
      <c r="J24" s="38" t="s">
        <v>179</v>
      </c>
      <c r="K24" s="34"/>
      <c r="L24" s="36"/>
      <c r="M24" s="36"/>
      <c r="N24" s="30" t="s">
        <v>179</v>
      </c>
      <c r="O24" s="30" t="s">
        <v>179</v>
      </c>
      <c r="P24" s="30" t="s">
        <v>179</v>
      </c>
      <c r="Q24" s="37" t="s">
        <v>56</v>
      </c>
    </row>
    <row r="25" spans="1:17" hidden="1" x14ac:dyDescent="0.25">
      <c r="B25" s="1" t="str">
        <f>B24</f>
        <v>Hide</v>
      </c>
      <c r="H25" s="30"/>
      <c r="I25" s="30"/>
    </row>
    <row r="26" spans="1:17" ht="15.75" hidden="1" thickBot="1" x14ac:dyDescent="0.3">
      <c r="B26" s="1" t="str">
        <f>+B25</f>
        <v>Hide</v>
      </c>
      <c r="D26" s="149" t="str">
        <f>+"END OF "&amp;D2</f>
        <v>END OF DALLAS LIFE FOUNDATION  (001042RA) - NO FRZ</v>
      </c>
      <c r="E26" s="150"/>
      <c r="F26" s="150"/>
      <c r="G26" s="150"/>
      <c r="H26" s="150"/>
      <c r="I26" s="150"/>
      <c r="J26" s="150"/>
      <c r="K26" s="150"/>
      <c r="L26" s="150"/>
      <c r="M26" s="151"/>
    </row>
    <row r="27" spans="1:17" ht="15.75" thickBot="1" x14ac:dyDescent="0.3"/>
    <row r="28" spans="1:17" ht="80.099999999999994" customHeight="1" thickBot="1" x14ac:dyDescent="0.3">
      <c r="A28" s="15" t="s">
        <v>30</v>
      </c>
      <c r="D28" s="121" t="str">
        <f>+F6</f>
        <v>PICKUP</v>
      </c>
      <c r="E28" s="122"/>
      <c r="F28" s="122"/>
      <c r="G28" s="122"/>
      <c r="H28" s="122"/>
      <c r="I28" s="122"/>
      <c r="J28" s="122"/>
      <c r="K28" s="122"/>
      <c r="L28" s="122"/>
      <c r="M28" s="123"/>
    </row>
    <row r="29" spans="1:17" ht="36.75" x14ac:dyDescent="0.45">
      <c r="A29" s="15" t="s">
        <v>30</v>
      </c>
      <c r="D29" s="127" t="s">
        <v>12</v>
      </c>
      <c r="E29" s="128"/>
      <c r="F29" s="152" t="str">
        <f>+F4</f>
        <v>001042RA</v>
      </c>
      <c r="G29" s="152"/>
      <c r="H29" s="152"/>
      <c r="I29" s="152"/>
      <c r="J29" s="152"/>
      <c r="K29" s="152"/>
      <c r="L29" s="152"/>
      <c r="M29" s="153"/>
    </row>
    <row r="30" spans="1:17" ht="37.5" customHeight="1" thickBot="1" x14ac:dyDescent="0.5">
      <c r="A30" s="15" t="s">
        <v>30</v>
      </c>
      <c r="D30" s="132" t="s">
        <v>5</v>
      </c>
      <c r="E30" s="133"/>
      <c r="F30" s="135" t="str">
        <f>+F5</f>
        <v>DALLAS LIFE FOUNDATION</v>
      </c>
      <c r="G30" s="135"/>
      <c r="H30" s="135"/>
      <c r="I30" s="135"/>
      <c r="J30" s="135"/>
      <c r="K30" s="135"/>
      <c r="L30" s="135"/>
      <c r="M30" s="136"/>
      <c r="N30" s="26"/>
      <c r="O30" s="26"/>
      <c r="P30" s="26"/>
    </row>
    <row r="31" spans="1:17" ht="33.75" hidden="1" thickBot="1" x14ac:dyDescent="0.45">
      <c r="A31" s="15" t="s">
        <v>19</v>
      </c>
      <c r="D31" s="154" t="s">
        <v>49</v>
      </c>
      <c r="E31" s="155"/>
      <c r="F31" s="21"/>
      <c r="G31" s="45"/>
      <c r="H31" s="21"/>
      <c r="I31" s="21"/>
      <c r="J31" s="21"/>
      <c r="K31" s="21"/>
      <c r="L31" s="21"/>
      <c r="M31" s="22"/>
    </row>
    <row r="32" spans="1:17" ht="30" hidden="1" customHeight="1" x14ac:dyDescent="0.25">
      <c r="A32" s="15" t="s">
        <v>19</v>
      </c>
      <c r="D32" s="23"/>
      <c r="E32" s="24"/>
      <c r="F32" s="156" t="s">
        <v>1202</v>
      </c>
      <c r="G32" s="156"/>
      <c r="H32" s="156"/>
      <c r="I32" s="156"/>
      <c r="J32" s="156"/>
      <c r="K32" s="156"/>
      <c r="L32" s="156"/>
      <c r="M32" s="157"/>
    </row>
    <row r="33" spans="1:13" ht="15.75" hidden="1" customHeight="1" thickBot="1" x14ac:dyDescent="0.3">
      <c r="A33" s="15" t="s">
        <v>19</v>
      </c>
      <c r="D33" s="23"/>
      <c r="E33" s="24"/>
      <c r="F33" s="24"/>
      <c r="G33" s="46"/>
      <c r="H33" s="24"/>
      <c r="I33" s="24"/>
      <c r="J33" s="24"/>
      <c r="K33" s="24"/>
      <c r="L33" s="24"/>
      <c r="M33" s="25"/>
    </row>
    <row r="34" spans="1:13" ht="36.75" x14ac:dyDescent="0.45">
      <c r="A34" s="15" t="s">
        <v>30</v>
      </c>
      <c r="D34" s="127" t="s">
        <v>50</v>
      </c>
      <c r="E34" s="128"/>
      <c r="F34" s="129">
        <f>+F7</f>
        <v>42612</v>
      </c>
      <c r="G34" s="130"/>
      <c r="H34" s="130"/>
      <c r="I34" s="130"/>
      <c r="J34" s="130"/>
      <c r="K34" s="130"/>
      <c r="L34" s="130"/>
      <c r="M34" s="131"/>
    </row>
    <row r="35" spans="1:13" ht="37.5" thickBot="1" x14ac:dyDescent="0.5">
      <c r="A35" s="15" t="s">
        <v>30</v>
      </c>
      <c r="D35" s="132" t="s">
        <v>32</v>
      </c>
      <c r="E35" s="133"/>
      <c r="F35" s="134"/>
      <c r="G35" s="135"/>
      <c r="H35" s="135"/>
      <c r="I35" s="135"/>
      <c r="J35" s="135"/>
      <c r="K35" s="135"/>
      <c r="L35" s="135"/>
      <c r="M35" s="136"/>
    </row>
    <row r="36" spans="1:13" ht="80.099999999999994" customHeight="1" thickBot="1" x14ac:dyDescent="0.3">
      <c r="A36" s="15" t="s">
        <v>30</v>
      </c>
      <c r="D36" s="118" t="s">
        <v>51</v>
      </c>
      <c r="E36" s="119"/>
      <c r="F36" s="119"/>
      <c r="G36" s="119"/>
      <c r="H36" s="119"/>
      <c r="I36" s="119"/>
      <c r="J36" s="119"/>
      <c r="K36" s="119"/>
      <c r="L36" s="119"/>
      <c r="M36" s="120"/>
    </row>
    <row r="37" spans="1:13" ht="90" customHeight="1" thickBot="1" x14ac:dyDescent="0.3">
      <c r="A37" s="15" t="s">
        <v>30</v>
      </c>
      <c r="D37" s="121" t="str">
        <f>IF(F6="DELIVER",G6,F6)</f>
        <v>PICKUP</v>
      </c>
      <c r="E37" s="122"/>
      <c r="F37" s="122"/>
      <c r="G37" s="122"/>
      <c r="H37" s="122"/>
      <c r="I37" s="122"/>
      <c r="J37" s="122"/>
      <c r="K37" s="122"/>
      <c r="L37" s="122"/>
      <c r="M37" s="123"/>
    </row>
    <row r="38" spans="1:13" ht="60" customHeight="1" thickBot="1" x14ac:dyDescent="0.3">
      <c r="A38" s="15" t="s">
        <v>30</v>
      </c>
      <c r="D38" s="124" t="s">
        <v>55</v>
      </c>
      <c r="E38" s="125"/>
      <c r="F38" s="125"/>
      <c r="G38" s="125"/>
      <c r="H38" s="125"/>
      <c r="I38" s="125"/>
      <c r="J38" s="125"/>
      <c r="K38" s="125"/>
      <c r="L38" s="125"/>
      <c r="M38" s="126"/>
    </row>
  </sheetData>
  <mergeCells count="17">
    <mergeCell ref="D30:E30"/>
    <mergeCell ref="F30:M30"/>
    <mergeCell ref="D31:E31"/>
    <mergeCell ref="F32:M32"/>
    <mergeCell ref="D2:M2"/>
    <mergeCell ref="F15:M17"/>
    <mergeCell ref="D26:M26"/>
    <mergeCell ref="D28:M28"/>
    <mergeCell ref="D29:E29"/>
    <mergeCell ref="F29:M29"/>
    <mergeCell ref="D36:M36"/>
    <mergeCell ref="D37:M37"/>
    <mergeCell ref="D38:M38"/>
    <mergeCell ref="D34:E34"/>
    <mergeCell ref="F34:M34"/>
    <mergeCell ref="D35:E35"/>
    <mergeCell ref="F35:M35"/>
  </mergeCells>
  <conditionalFormatting sqref="F6">
    <cfRule type="cellIs" dxfId="239" priority="5" operator="equal">
      <formula>"DELIVER"</formula>
    </cfRule>
  </conditionalFormatting>
  <conditionalFormatting sqref="D28">
    <cfRule type="cellIs" dxfId="238" priority="4" operator="equal">
      <formula>"DELIVER"</formula>
    </cfRule>
  </conditionalFormatting>
  <conditionalFormatting sqref="D2:M2">
    <cfRule type="expression" dxfId="237" priority="3">
      <formula>$F$6="DELIVER"</formula>
    </cfRule>
  </conditionalFormatting>
  <conditionalFormatting sqref="G6">
    <cfRule type="expression" dxfId="236" priority="2">
      <formula>$F$6="DELIVER"</formula>
    </cfRule>
  </conditionalFormatting>
  <conditionalFormatting sqref="D37">
    <cfRule type="expression" dxfId="23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1685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>HIDESHEET</v>
      </c>
      <c r="C2" s="74" t="s">
        <v>7</v>
      </c>
      <c r="D2" s="181" t="str">
        <f>IF(E24="",F5&amp;"  ("&amp;F4&amp;") - NO "&amp;C23,F5&amp;"  ("&amp;F4&amp;") - "&amp;C23&amp;" PICK LIST")</f>
        <v>DUNCANVILLE OUTREACH MINISTRY  (002051P)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"002051P"</f>
        <v>002051P</v>
      </c>
      <c r="E4" s="101" t="s">
        <v>37</v>
      </c>
      <c r="F4" s="105" t="str">
        <f>C4</f>
        <v>002051P</v>
      </c>
      <c r="K4" s="101" t="s">
        <v>42</v>
      </c>
      <c r="L4" s="104"/>
      <c r="M4" s="111">
        <f>SUM(I24:I25)</f>
        <v>0</v>
      </c>
    </row>
    <row r="5" spans="1:26" ht="18" hidden="1" customHeight="1" x14ac:dyDescent="0.25">
      <c r="B5" s="76" t="str">
        <f t="shared" si="0"/>
        <v>Hide</v>
      </c>
      <c r="C5" s="109" t="s">
        <v>1221</v>
      </c>
      <c r="E5" s="101" t="s">
        <v>36</v>
      </c>
      <c r="F5" s="112" t="s">
        <v>1187</v>
      </c>
      <c r="K5" s="101" t="s">
        <v>43</v>
      </c>
      <c r="L5" s="104"/>
      <c r="M5" s="111">
        <f>ROUND(SUM(O24:O25),0)</f>
        <v>0</v>
      </c>
    </row>
    <row r="6" spans="1:26" ht="18" hidden="1" customHeight="1" x14ac:dyDescent="0.25">
      <c r="B6" s="76" t="str">
        <f t="shared" si="0"/>
        <v>Hide</v>
      </c>
      <c r="C6" s="109" t="s">
        <v>1225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ROUND(COUNT(O24:O25),0)</f>
        <v>0</v>
      </c>
      <c r="P6" s="101"/>
      <c r="W6" s="101" t="str">
        <f>"ESTIMATED "&amp;O23&amp;"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E14</f>
        <v>A108341|A108341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F14</f>
        <v>ITPN-207475|ITPN-207475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 t="shared" si="0"/>
        <v>Hide</v>
      </c>
      <c r="C12" s="74" t="s">
        <v>1221</v>
      </c>
      <c r="E12" s="74" t="s">
        <v>1216</v>
      </c>
      <c r="F12" s="74" t="s">
        <v>1222</v>
      </c>
      <c r="I12" s="98"/>
      <c r="J12" s="98"/>
      <c r="K12" s="98"/>
      <c r="L12" s="98"/>
      <c r="M12" s="98"/>
    </row>
    <row r="13" spans="1:26" hidden="1" x14ac:dyDescent="0.25">
      <c r="A13" s="74" t="s">
        <v>6</v>
      </c>
      <c r="B13" s="76" t="str">
        <f t="shared" si="0"/>
        <v>Hide</v>
      </c>
      <c r="C13" s="74" t="s">
        <v>1216</v>
      </c>
      <c r="E13" s="74" t="str">
        <f>E12</f>
        <v>A108341</v>
      </c>
      <c r="F13" s="74" t="str">
        <f>F12</f>
        <v>ITPN-207475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si="0"/>
        <v>Hide</v>
      </c>
      <c r="E14" s="92" t="s">
        <v>1223</v>
      </c>
      <c r="F14" s="92" t="s">
        <v>1224</v>
      </c>
      <c r="I14" s="98"/>
      <c r="J14" s="98"/>
      <c r="K14" s="98"/>
      <c r="L14" s="98"/>
      <c r="M14" s="98"/>
    </row>
    <row r="15" spans="1:26" hidden="1" x14ac:dyDescent="0.25">
      <c r="B15" s="76" t="str">
        <f t="shared" si="0"/>
        <v>Hide</v>
      </c>
      <c r="E15" s="101" t="s">
        <v>20</v>
      </c>
      <c r="F15" s="184" t="s">
        <v>179</v>
      </c>
      <c r="G15" s="185"/>
      <c r="H15" s="185"/>
      <c r="I15" s="185"/>
      <c r="J15" s="185"/>
      <c r="K15" s="185"/>
      <c r="L15" s="185"/>
      <c r="M15" s="186"/>
    </row>
    <row r="16" spans="1:26" hidden="1" x14ac:dyDescent="0.25">
      <c r="B16" s="76" t="str">
        <f t="shared" si="0"/>
        <v>Hide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hidden="1" thickBot="1" x14ac:dyDescent="0.3">
      <c r="B17" s="76" t="str">
        <f t="shared" si="0"/>
        <v>Hide</v>
      </c>
      <c r="F17" s="190"/>
      <c r="G17" s="191"/>
      <c r="H17" s="191"/>
      <c r="I17" s="191"/>
      <c r="J17" s="191"/>
      <c r="K17" s="191"/>
      <c r="L17" s="191"/>
      <c r="M17" s="192"/>
    </row>
    <row r="18" spans="1:17" hidden="1" x14ac:dyDescent="0.25">
      <c r="B18" s="76" t="str">
        <f t="shared" si="0"/>
        <v>Hide</v>
      </c>
    </row>
    <row r="19" spans="1:17" hidden="1" x14ac:dyDescent="0.25">
      <c r="B19" s="76" t="str">
        <f t="shared" si="0"/>
        <v>Hide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hidden="1" x14ac:dyDescent="0.25">
      <c r="B20" s="76" t="str">
        <f t="shared" si="0"/>
        <v>Hide</v>
      </c>
      <c r="E20" s="101"/>
    </row>
    <row r="21" spans="1:17" hidden="1" x14ac:dyDescent="0.25">
      <c r="B21" s="76" t="str">
        <f t="shared" si="0"/>
        <v>Hide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hidden="1" x14ac:dyDescent="0.25">
      <c r="B22" s="76" t="str">
        <f t="shared" si="0"/>
        <v>Hide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hidden="1" customHeight="1" x14ac:dyDescent="0.25">
      <c r="A23" s="97"/>
      <c r="B23" s="76" t="str">
        <f t="shared" si="0"/>
        <v>Hide</v>
      </c>
      <c r="C23" s="117" t="s">
        <v>45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hidden="1" customHeight="1" x14ac:dyDescent="0.25">
      <c r="B24" s="92" t="str">
        <f>IF(I24="","Hide","Show")</f>
        <v>Hide</v>
      </c>
      <c r="C24" s="74" t="s">
        <v>179</v>
      </c>
      <c r="D24" s="89" t="s">
        <v>179</v>
      </c>
      <c r="E24" s="89" t="s">
        <v>179</v>
      </c>
      <c r="F24" s="89" t="s">
        <v>179</v>
      </c>
      <c r="G24" s="91" t="s">
        <v>180</v>
      </c>
      <c r="H24" s="90" t="s">
        <v>179</v>
      </c>
      <c r="I24" s="89" t="s">
        <v>179</v>
      </c>
      <c r="J24" s="89" t="s">
        <v>179</v>
      </c>
      <c r="K24" s="88"/>
      <c r="L24" s="87"/>
      <c r="M24" s="87"/>
      <c r="N24" s="85" t="s">
        <v>179</v>
      </c>
      <c r="O24" s="85" t="s">
        <v>179</v>
      </c>
      <c r="P24" s="85" t="s">
        <v>179</v>
      </c>
      <c r="Q24" s="86" t="s">
        <v>56</v>
      </c>
    </row>
    <row r="25" spans="1:17" hidden="1" x14ac:dyDescent="0.25">
      <c r="B25" s="74" t="str">
        <f>B24</f>
        <v>Hide</v>
      </c>
      <c r="H25" s="85"/>
      <c r="I25" s="85"/>
    </row>
    <row r="26" spans="1:17" ht="15.75" hidden="1" thickBot="1" x14ac:dyDescent="0.3">
      <c r="B26" s="74" t="str">
        <f>+B25</f>
        <v>Hide</v>
      </c>
      <c r="D26" s="193" t="str">
        <f>+"END OF "&amp;D2</f>
        <v>END OF DUNCANVILLE OUTREACH MINISTRY  (002051P) - NO FRZ</v>
      </c>
      <c r="E26" s="194"/>
      <c r="F26" s="194"/>
      <c r="G26" s="194"/>
      <c r="H26" s="194"/>
      <c r="I26" s="194"/>
      <c r="J26" s="194"/>
      <c r="K26" s="194"/>
      <c r="L26" s="194"/>
      <c r="M26" s="195"/>
    </row>
    <row r="27" spans="1:17" ht="15.75" thickBot="1" x14ac:dyDescent="0.3"/>
    <row r="28" spans="1:17" ht="80.099999999999994" customHeight="1" thickBot="1" x14ac:dyDescent="0.3">
      <c r="A28" s="76" t="s">
        <v>30</v>
      </c>
      <c r="D28" s="166" t="str">
        <f>+F6</f>
        <v>PICKUP</v>
      </c>
      <c r="E28" s="167"/>
      <c r="F28" s="167"/>
      <c r="G28" s="167"/>
      <c r="H28" s="167"/>
      <c r="I28" s="167"/>
      <c r="J28" s="167"/>
      <c r="K28" s="167"/>
      <c r="L28" s="167"/>
      <c r="M28" s="168"/>
    </row>
    <row r="29" spans="1:17" ht="36.75" x14ac:dyDescent="0.45">
      <c r="A29" s="76" t="s">
        <v>30</v>
      </c>
      <c r="D29" s="176" t="s">
        <v>12</v>
      </c>
      <c r="E29" s="177"/>
      <c r="F29" s="196" t="str">
        <f>+F4</f>
        <v>002051P</v>
      </c>
      <c r="G29" s="196"/>
      <c r="H29" s="196"/>
      <c r="I29" s="196"/>
      <c r="J29" s="196"/>
      <c r="K29" s="196"/>
      <c r="L29" s="196"/>
      <c r="M29" s="197"/>
    </row>
    <row r="30" spans="1:17" ht="37.5" customHeight="1" thickBot="1" x14ac:dyDescent="0.5">
      <c r="A30" s="76" t="s">
        <v>30</v>
      </c>
      <c r="D30" s="158" t="s">
        <v>5</v>
      </c>
      <c r="E30" s="159"/>
      <c r="F30" s="161" t="str">
        <f>+F5</f>
        <v>DUNCANVILLE OUTREACH MINISTRY</v>
      </c>
      <c r="G30" s="161"/>
      <c r="H30" s="161"/>
      <c r="I30" s="161"/>
      <c r="J30" s="161"/>
      <c r="K30" s="161"/>
      <c r="L30" s="161"/>
      <c r="M30" s="162"/>
      <c r="N30" s="84"/>
      <c r="O30" s="84"/>
      <c r="P30" s="84"/>
    </row>
    <row r="31" spans="1:17" ht="33.75" hidden="1" thickBot="1" x14ac:dyDescent="0.45">
      <c r="A31" s="76" t="s">
        <v>19</v>
      </c>
      <c r="D31" s="172" t="s">
        <v>49</v>
      </c>
      <c r="E31" s="173"/>
      <c r="F31" s="82"/>
      <c r="G31" s="83"/>
      <c r="H31" s="82"/>
      <c r="I31" s="82"/>
      <c r="J31" s="82"/>
      <c r="K31" s="82"/>
      <c r="L31" s="82"/>
      <c r="M31" s="81"/>
    </row>
    <row r="32" spans="1:17" ht="30" hidden="1" customHeight="1" x14ac:dyDescent="0.25">
      <c r="A32" s="76" t="s">
        <v>19</v>
      </c>
      <c r="D32" s="80"/>
      <c r="E32" s="78"/>
      <c r="F32" s="174" t="s">
        <v>1216</v>
      </c>
      <c r="G32" s="174"/>
      <c r="H32" s="174"/>
      <c r="I32" s="174"/>
      <c r="J32" s="174"/>
      <c r="K32" s="174"/>
      <c r="L32" s="174"/>
      <c r="M32" s="175"/>
    </row>
    <row r="33" spans="1:13" ht="15.75" hidden="1" customHeight="1" thickBot="1" x14ac:dyDescent="0.3">
      <c r="A33" s="76" t="s">
        <v>19</v>
      </c>
      <c r="D33" s="80"/>
      <c r="E33" s="78"/>
      <c r="F33" s="78"/>
      <c r="G33" s="79"/>
      <c r="H33" s="78"/>
      <c r="I33" s="78"/>
      <c r="J33" s="78"/>
      <c r="K33" s="78"/>
      <c r="L33" s="78"/>
      <c r="M33" s="77"/>
    </row>
    <row r="34" spans="1:13" ht="36.75" x14ac:dyDescent="0.45">
      <c r="A34" s="76" t="s">
        <v>30</v>
      </c>
      <c r="D34" s="176" t="s">
        <v>50</v>
      </c>
      <c r="E34" s="177"/>
      <c r="F34" s="178">
        <f>+F7</f>
        <v>42612</v>
      </c>
      <c r="G34" s="179"/>
      <c r="H34" s="179"/>
      <c r="I34" s="179"/>
      <c r="J34" s="179"/>
      <c r="K34" s="179"/>
      <c r="L34" s="179"/>
      <c r="M34" s="180"/>
    </row>
    <row r="35" spans="1:13" ht="37.5" thickBot="1" x14ac:dyDescent="0.5">
      <c r="A35" s="76" t="s">
        <v>30</v>
      </c>
      <c r="D35" s="158" t="s">
        <v>32</v>
      </c>
      <c r="E35" s="159"/>
      <c r="F35" s="160"/>
      <c r="G35" s="161"/>
      <c r="H35" s="161"/>
      <c r="I35" s="161"/>
      <c r="J35" s="161"/>
      <c r="K35" s="161"/>
      <c r="L35" s="161"/>
      <c r="M35" s="162"/>
    </row>
    <row r="36" spans="1:13" ht="80.099999999999994" customHeight="1" thickBot="1" x14ac:dyDescent="0.3">
      <c r="A36" s="76" t="s">
        <v>30</v>
      </c>
      <c r="D36" s="163" t="s">
        <v>51</v>
      </c>
      <c r="E36" s="164"/>
      <c r="F36" s="164"/>
      <c r="G36" s="164"/>
      <c r="H36" s="164"/>
      <c r="I36" s="164"/>
      <c r="J36" s="164"/>
      <c r="K36" s="164"/>
      <c r="L36" s="164"/>
      <c r="M36" s="165"/>
    </row>
    <row r="37" spans="1:13" ht="90" customHeight="1" thickBot="1" x14ac:dyDescent="0.3">
      <c r="A37" s="76" t="s">
        <v>30</v>
      </c>
      <c r="D37" s="166" t="str">
        <f>IF(F6="DELIVER",G6,F6)</f>
        <v>PICKUP</v>
      </c>
      <c r="E37" s="167"/>
      <c r="F37" s="167"/>
      <c r="G37" s="167"/>
      <c r="H37" s="167"/>
      <c r="I37" s="167"/>
      <c r="J37" s="167"/>
      <c r="K37" s="167"/>
      <c r="L37" s="167"/>
      <c r="M37" s="168"/>
    </row>
    <row r="38" spans="1:13" ht="60" customHeight="1" thickBot="1" x14ac:dyDescent="0.3">
      <c r="A38" s="76" t="s">
        <v>30</v>
      </c>
      <c r="D38" s="169" t="s">
        <v>55</v>
      </c>
      <c r="E38" s="170"/>
      <c r="F38" s="170"/>
      <c r="G38" s="170"/>
      <c r="H38" s="170"/>
      <c r="I38" s="170"/>
      <c r="J38" s="170"/>
      <c r="K38" s="170"/>
      <c r="L38" s="170"/>
      <c r="M38" s="171"/>
    </row>
  </sheetData>
  <mergeCells count="17">
    <mergeCell ref="D2:M2"/>
    <mergeCell ref="F15:M17"/>
    <mergeCell ref="D26:M26"/>
    <mergeCell ref="D28:M28"/>
    <mergeCell ref="D29:E29"/>
    <mergeCell ref="F29:M29"/>
    <mergeCell ref="D30:E30"/>
    <mergeCell ref="F30:M30"/>
    <mergeCell ref="D31:E31"/>
    <mergeCell ref="F32:M32"/>
    <mergeCell ref="D34:E34"/>
    <mergeCell ref="F34:M34"/>
    <mergeCell ref="D35:E35"/>
    <mergeCell ref="F35:M35"/>
    <mergeCell ref="D36:M36"/>
    <mergeCell ref="D37:M37"/>
    <mergeCell ref="D38:M38"/>
  </mergeCells>
  <conditionalFormatting sqref="F6">
    <cfRule type="cellIs" dxfId="234" priority="5" operator="equal">
      <formula>"DELIVER"</formula>
    </cfRule>
  </conditionalFormatting>
  <conditionalFormatting sqref="D28">
    <cfRule type="cellIs" dxfId="233" priority="4" operator="equal">
      <formula>"DELIVER"</formula>
    </cfRule>
  </conditionalFormatting>
  <conditionalFormatting sqref="D2:M2">
    <cfRule type="expression" dxfId="232" priority="3">
      <formula>$F$6="DELIVER"</formula>
    </cfRule>
  </conditionalFormatting>
  <conditionalFormatting sqref="G6">
    <cfRule type="expression" dxfId="231" priority="2">
      <formula>$F$6="DELIVER"</formula>
    </cfRule>
  </conditionalFormatting>
  <conditionalFormatting sqref="D37">
    <cfRule type="expression" dxfId="23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1687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/>
      </c>
      <c r="C2" s="74" t="s">
        <v>7</v>
      </c>
      <c r="D2" s="181" t="str">
        <f>IF(E26="",F5&amp;"  ("&amp;F4&amp;") - NO "&amp;C25,F5&amp;"  ("&amp;F4&amp;") - "&amp;C25&amp;" PICK LIST")</f>
        <v>SALVATION ARMY OAK CLIFF  (002052P) - FRZ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"002052P"</f>
        <v>002052P</v>
      </c>
      <c r="E4" s="101" t="s">
        <v>37</v>
      </c>
      <c r="F4" s="105" t="str">
        <f>C4</f>
        <v>002052P</v>
      </c>
      <c r="K4" s="101" t="s">
        <v>42</v>
      </c>
      <c r="L4" s="104"/>
      <c r="M4" s="111">
        <f>SUM(I26:I27)</f>
        <v>10</v>
      </c>
    </row>
    <row r="5" spans="1:26" ht="18" customHeight="1" x14ac:dyDescent="0.25">
      <c r="B5" s="76" t="str">
        <f t="shared" si="0"/>
        <v>Show</v>
      </c>
      <c r="C5" s="109" t="s">
        <v>1230</v>
      </c>
      <c r="E5" s="101" t="s">
        <v>36</v>
      </c>
      <c r="F5" s="112" t="s">
        <v>1194</v>
      </c>
      <c r="K5" s="101" t="s">
        <v>43</v>
      </c>
      <c r="L5" s="104"/>
      <c r="M5" s="111">
        <f>ROUND(SUM(O26:O27),0)</f>
        <v>270</v>
      </c>
    </row>
    <row r="6" spans="1:26" ht="18" customHeight="1" x14ac:dyDescent="0.25">
      <c r="B6" s="76" t="str">
        <f t="shared" si="0"/>
        <v>Show</v>
      </c>
      <c r="C6" s="109" t="s">
        <v>1231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ROUND(COUNT(O26:O27),0)</f>
        <v>1</v>
      </c>
      <c r="P6" s="101"/>
      <c r="W6" s="101" t="str">
        <f>"ESTIMATED "&amp;O25&amp;"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E16</f>
        <v>A108237|A108237|A108237|A108237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F16</f>
        <v>ITPN-207456|ITPN-207457|ITPN-207460|ITPN-207456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B15</f>
        <v>Show</v>
      </c>
      <c r="C12" s="74" t="s">
        <v>1230</v>
      </c>
      <c r="E12" s="74" t="s">
        <v>1226</v>
      </c>
      <c r="F12" s="74" t="s">
        <v>1227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4" si="1">B16</f>
        <v>Show</v>
      </c>
      <c r="C13" s="74" t="str">
        <f>"""Ceres NTFB Live"",""NTFB Live"",""5766"",""1"",""Invt. Pick"",""2"",""ITPN-207457"""</f>
        <v>"Ceres NTFB Live","NTFB Live","5766","1","Invt. Pick","2","ITPN-207457"</v>
      </c>
      <c r="E13" s="74" t="s">
        <v>1226</v>
      </c>
      <c r="F13" s="74" t="s">
        <v>1228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Pick"",""2"",""ITPN-207460"""</f>
        <v>"Ceres NTFB Live","NTFB Live","5766","1","Invt. Pick","2","ITPN-207460"</v>
      </c>
      <c r="E14" s="74" t="s">
        <v>1226</v>
      </c>
      <c r="F14" s="74" t="s">
        <v>1229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ref="B15:B25" si="2">B16</f>
        <v>Show</v>
      </c>
      <c r="C15" s="74" t="s">
        <v>1226</v>
      </c>
      <c r="E15" s="74" t="str">
        <f>E12</f>
        <v>A108237</v>
      </c>
      <c r="F15" s="74" t="str">
        <f>F12</f>
        <v>ITPN-207456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6</v>
      </c>
      <c r="B16" s="76" t="str">
        <f t="shared" si="2"/>
        <v>Show</v>
      </c>
      <c r="E16" s="92" t="s">
        <v>1801</v>
      </c>
      <c r="F16" s="92" t="s">
        <v>1802</v>
      </c>
      <c r="I16" s="98"/>
      <c r="J16" s="98"/>
      <c r="K16" s="98"/>
      <c r="L16" s="98"/>
      <c r="M16" s="98"/>
    </row>
    <row r="17" spans="1:17" x14ac:dyDescent="0.25">
      <c r="B17" s="76" t="str">
        <f t="shared" si="2"/>
        <v>Show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x14ac:dyDescent="0.25">
      <c r="B18" s="76" t="str">
        <f t="shared" si="2"/>
        <v>Show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thickBot="1" x14ac:dyDescent="0.3">
      <c r="B19" s="76" t="str">
        <f t="shared" si="2"/>
        <v>Show</v>
      </c>
      <c r="F19" s="190"/>
      <c r="G19" s="191"/>
      <c r="H19" s="191"/>
      <c r="I19" s="191"/>
      <c r="J19" s="191"/>
      <c r="K19" s="191"/>
      <c r="L19" s="191"/>
      <c r="M19" s="192"/>
    </row>
    <row r="20" spans="1:17" x14ac:dyDescent="0.25">
      <c r="B20" s="76" t="str">
        <f t="shared" si="2"/>
        <v>Show</v>
      </c>
    </row>
    <row r="21" spans="1:17" x14ac:dyDescent="0.25">
      <c r="B21" s="76" t="str">
        <f t="shared" si="2"/>
        <v>Show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x14ac:dyDescent="0.25">
      <c r="B22" s="76" t="str">
        <f t="shared" si="2"/>
        <v>Show</v>
      </c>
      <c r="E22" s="101"/>
    </row>
    <row r="23" spans="1:17" x14ac:dyDescent="0.25">
      <c r="B23" s="76" t="str">
        <f t="shared" si="2"/>
        <v>Show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x14ac:dyDescent="0.25">
      <c r="B24" s="76" t="str">
        <f t="shared" si="2"/>
        <v>Show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customHeight="1" x14ac:dyDescent="0.25">
      <c r="A25" s="97"/>
      <c r="B25" s="76" t="str">
        <f t="shared" si="2"/>
        <v>Show</v>
      </c>
      <c r="C25" s="117" t="s">
        <v>45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customHeight="1" x14ac:dyDescent="0.25">
      <c r="B26" s="92" t="str">
        <f>IF(I26="","Hide","Show")</f>
        <v>Show</v>
      </c>
      <c r="C26" s="74" t="s">
        <v>1489</v>
      </c>
      <c r="D26" s="89" t="s">
        <v>776</v>
      </c>
      <c r="E26" s="89" t="s">
        <v>1490</v>
      </c>
      <c r="F26" s="89" t="s">
        <v>791</v>
      </c>
      <c r="G26" s="91" t="s">
        <v>1491</v>
      </c>
      <c r="H26" s="90" t="s">
        <v>792</v>
      </c>
      <c r="I26" s="89">
        <v>10</v>
      </c>
      <c r="J26" s="89" t="s">
        <v>286</v>
      </c>
      <c r="K26" s="88"/>
      <c r="L26" s="87"/>
      <c r="M26" s="87"/>
      <c r="N26" s="85" t="s">
        <v>179</v>
      </c>
      <c r="O26" s="85">
        <v>270</v>
      </c>
      <c r="P26" s="85" t="s">
        <v>45</v>
      </c>
      <c r="Q26" s="86" t="s">
        <v>56</v>
      </c>
    </row>
    <row r="27" spans="1:17" ht="15.75" thickBot="1" x14ac:dyDescent="0.3">
      <c r="B27" s="74" t="str">
        <f>B26</f>
        <v>Show</v>
      </c>
      <c r="H27" s="85"/>
      <c r="I27" s="85"/>
    </row>
    <row r="28" spans="1:17" ht="15.75" thickBot="1" x14ac:dyDescent="0.3">
      <c r="B28" s="74" t="str">
        <f>+B27</f>
        <v>Show</v>
      </c>
      <c r="D28" s="193" t="str">
        <f>+"END OF "&amp;D2</f>
        <v>END OF SALVATION ARMY OAK CLIFF  (002052P) - FRZ PICK LIST</v>
      </c>
      <c r="E28" s="194"/>
      <c r="F28" s="194"/>
      <c r="G28" s="194"/>
      <c r="H28" s="194"/>
      <c r="I28" s="194"/>
      <c r="J28" s="194"/>
      <c r="K28" s="194"/>
      <c r="L28" s="194"/>
      <c r="M28" s="195"/>
    </row>
    <row r="29" spans="1:17" ht="15.75" thickBot="1" x14ac:dyDescent="0.3"/>
    <row r="30" spans="1:17" ht="80.099999999999994" customHeight="1" thickBot="1" x14ac:dyDescent="0.3">
      <c r="A30" s="76" t="s">
        <v>30</v>
      </c>
      <c r="D30" s="166" t="str">
        <f>+F6</f>
        <v>PICKUP</v>
      </c>
      <c r="E30" s="167"/>
      <c r="F30" s="167"/>
      <c r="G30" s="167"/>
      <c r="H30" s="167"/>
      <c r="I30" s="167"/>
      <c r="J30" s="167"/>
      <c r="K30" s="167"/>
      <c r="L30" s="167"/>
      <c r="M30" s="168"/>
    </row>
    <row r="31" spans="1:17" ht="36.75" x14ac:dyDescent="0.45">
      <c r="A31" s="76" t="s">
        <v>30</v>
      </c>
      <c r="D31" s="176" t="s">
        <v>12</v>
      </c>
      <c r="E31" s="177"/>
      <c r="F31" s="196" t="str">
        <f>+F4</f>
        <v>002052P</v>
      </c>
      <c r="G31" s="196"/>
      <c r="H31" s="196"/>
      <c r="I31" s="196"/>
      <c r="J31" s="196"/>
      <c r="K31" s="196"/>
      <c r="L31" s="196"/>
      <c r="M31" s="197"/>
    </row>
    <row r="32" spans="1:17" ht="37.5" customHeight="1" thickBot="1" x14ac:dyDescent="0.5">
      <c r="A32" s="76" t="s">
        <v>30</v>
      </c>
      <c r="D32" s="158" t="s">
        <v>5</v>
      </c>
      <c r="E32" s="159"/>
      <c r="F32" s="161" t="str">
        <f>+F5</f>
        <v>SALVATION ARMY OAK CLIFF</v>
      </c>
      <c r="G32" s="161"/>
      <c r="H32" s="161"/>
      <c r="I32" s="161"/>
      <c r="J32" s="161"/>
      <c r="K32" s="161"/>
      <c r="L32" s="161"/>
      <c r="M32" s="162"/>
      <c r="N32" s="84"/>
      <c r="O32" s="84"/>
      <c r="P32" s="84"/>
    </row>
    <row r="33" spans="1:13" ht="33.75" hidden="1" thickBot="1" x14ac:dyDescent="0.45">
      <c r="A33" s="76" t="s">
        <v>19</v>
      </c>
      <c r="D33" s="172" t="s">
        <v>49</v>
      </c>
      <c r="E33" s="173"/>
      <c r="F33" s="82"/>
      <c r="G33" s="83"/>
      <c r="H33" s="82"/>
      <c r="I33" s="82"/>
      <c r="J33" s="82"/>
      <c r="K33" s="82"/>
      <c r="L33" s="82"/>
      <c r="M33" s="81"/>
    </row>
    <row r="34" spans="1:13" ht="30" hidden="1" customHeight="1" x14ac:dyDescent="0.25">
      <c r="A34" s="76" t="s">
        <v>19</v>
      </c>
      <c r="D34" s="80"/>
      <c r="E34" s="78"/>
      <c r="F34" s="174" t="s">
        <v>1226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>PICKUP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7">
    <mergeCell ref="D2:M2"/>
    <mergeCell ref="F17:M19"/>
    <mergeCell ref="D28:M28"/>
    <mergeCell ref="D30:M30"/>
    <mergeCell ref="D31:E31"/>
    <mergeCell ref="F31:M31"/>
    <mergeCell ref="D32:E32"/>
    <mergeCell ref="F32:M32"/>
    <mergeCell ref="D33:E33"/>
    <mergeCell ref="F34:M34"/>
    <mergeCell ref="D36:E36"/>
    <mergeCell ref="F36:M36"/>
    <mergeCell ref="D37:E37"/>
    <mergeCell ref="F37:M37"/>
    <mergeCell ref="D38:M38"/>
    <mergeCell ref="D39:M39"/>
    <mergeCell ref="D40:M40"/>
  </mergeCells>
  <conditionalFormatting sqref="F6">
    <cfRule type="cellIs" dxfId="229" priority="5" operator="equal">
      <formula>"DELIVER"</formula>
    </cfRule>
  </conditionalFormatting>
  <conditionalFormatting sqref="D30">
    <cfRule type="cellIs" dxfId="228" priority="4" operator="equal">
      <formula>"DELIVER"</formula>
    </cfRule>
  </conditionalFormatting>
  <conditionalFormatting sqref="D2:M2">
    <cfRule type="expression" dxfId="227" priority="3">
      <formula>$F$6="DELIVER"</formula>
    </cfRule>
  </conditionalFormatting>
  <conditionalFormatting sqref="G6">
    <cfRule type="expression" dxfId="226" priority="2">
      <formula>$F$6="DELIVER"</formula>
    </cfRule>
  </conditionalFormatting>
  <conditionalFormatting sqref="D39">
    <cfRule type="expression" dxfId="22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8" max="16383" man="1"/>
  </rowBreaks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1689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HIGHLAND OAKS CHURCH OF CHRIST  (002098P) - FRZ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"002098P"</f>
        <v>002098P</v>
      </c>
      <c r="E4" s="101" t="s">
        <v>37</v>
      </c>
      <c r="F4" s="105" t="str">
        <f>C4</f>
        <v>002098P</v>
      </c>
      <c r="K4" s="101" t="s">
        <v>42</v>
      </c>
      <c r="L4" s="104"/>
      <c r="M4" s="111">
        <f>SUM(I25:I26)</f>
        <v>3</v>
      </c>
    </row>
    <row r="5" spans="1:26" ht="18" customHeight="1" x14ac:dyDescent="0.25">
      <c r="B5" s="76" t="str">
        <f t="shared" si="0"/>
        <v>Show</v>
      </c>
      <c r="C5" s="109" t="s">
        <v>1240</v>
      </c>
      <c r="E5" s="101" t="s">
        <v>36</v>
      </c>
      <c r="F5" s="112" t="s">
        <v>1193</v>
      </c>
      <c r="K5" s="101" t="s">
        <v>43</v>
      </c>
      <c r="L5" s="104"/>
      <c r="M5" s="111">
        <f>ROUND(SUM(O25:O26),0)</f>
        <v>81</v>
      </c>
    </row>
    <row r="6" spans="1:26" ht="18" customHeight="1" x14ac:dyDescent="0.25">
      <c r="B6" s="76" t="str">
        <f t="shared" si="0"/>
        <v>Show</v>
      </c>
      <c r="C6" s="109" t="s">
        <v>1241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1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A108356|A108356|A108356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ITPN-207476|ITPN-207478|ITPN-207476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1240</v>
      </c>
      <c r="E12" s="74" t="s">
        <v>1235</v>
      </c>
      <c r="F12" s="74" t="s">
        <v>1236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Pick"",""2"",""ITPN-207478"""</f>
        <v>"Ceres NTFB Live","NTFB Live","5766","1","Invt. Pick","2","ITPN-207478"</v>
      </c>
      <c r="E13" s="74" t="s">
        <v>1235</v>
      </c>
      <c r="F13" s="74" t="s">
        <v>1237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1235</v>
      </c>
      <c r="E14" s="74" t="str">
        <f>E12</f>
        <v>A108356</v>
      </c>
      <c r="F14" s="74" t="str">
        <f>F12</f>
        <v>ITPN-207476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1238</v>
      </c>
      <c r="F15" s="92" t="s">
        <v>1239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117" t="s">
        <v>45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1492</v>
      </c>
      <c r="D25" s="89" t="s">
        <v>771</v>
      </c>
      <c r="E25" s="89" t="s">
        <v>772</v>
      </c>
      <c r="F25" s="89" t="s">
        <v>773</v>
      </c>
      <c r="G25" s="91" t="s">
        <v>1243</v>
      </c>
      <c r="H25" s="90" t="s">
        <v>774</v>
      </c>
      <c r="I25" s="89">
        <v>3</v>
      </c>
      <c r="J25" s="89" t="s">
        <v>286</v>
      </c>
      <c r="K25" s="88"/>
      <c r="L25" s="87"/>
      <c r="M25" s="87"/>
      <c r="N25" s="85" t="s">
        <v>179</v>
      </c>
      <c r="O25" s="85">
        <v>81</v>
      </c>
      <c r="P25" s="85" t="s">
        <v>45</v>
      </c>
      <c r="Q25" s="86" t="s">
        <v>56</v>
      </c>
    </row>
    <row r="26" spans="1:17" ht="15.75" thickBot="1" x14ac:dyDescent="0.3">
      <c r="B26" s="74" t="str">
        <f>B25</f>
        <v>Show</v>
      </c>
      <c r="H26" s="85"/>
      <c r="I26" s="85"/>
    </row>
    <row r="27" spans="1:17" ht="15.75" thickBot="1" x14ac:dyDescent="0.3">
      <c r="B27" s="74" t="str">
        <f>+B26</f>
        <v>Show</v>
      </c>
      <c r="D27" s="193" t="str">
        <f>+"END OF "&amp;D2</f>
        <v>END OF HIGHLAND OAKS CHURCH OF CHRIST  (002098P) - FRZ PICK LIST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002098P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HIGHLAND OAKS CHURCH OF CHRIST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1235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224" priority="5" operator="equal">
      <formula>"DELIVER"</formula>
    </cfRule>
  </conditionalFormatting>
  <conditionalFormatting sqref="D29">
    <cfRule type="cellIs" dxfId="223" priority="4" operator="equal">
      <formula>"DELIVER"</formula>
    </cfRule>
  </conditionalFormatting>
  <conditionalFormatting sqref="D2:M2">
    <cfRule type="expression" dxfId="222" priority="3">
      <formula>$F$6="DELIVER"</formula>
    </cfRule>
  </conditionalFormatting>
  <conditionalFormatting sqref="G6">
    <cfRule type="expression" dxfId="221" priority="2">
      <formula>$F$6="DELIVER"</formula>
    </cfRule>
  </conditionalFormatting>
  <conditionalFormatting sqref="D38">
    <cfRule type="expression" dxfId="22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1691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>HIDESHEET</v>
      </c>
      <c r="C2" s="74" t="s">
        <v>7</v>
      </c>
      <c r="D2" s="181" t="str">
        <f>IF(E28="",F5&amp;"  ("&amp;F4&amp;") - NO "&amp;C27,F5&amp;"  ("&amp;F4&amp;") - "&amp;C27&amp;" PICK LIST")</f>
        <v>METROCREST SERVICES  (002127P)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"002127P"</f>
        <v>002127P</v>
      </c>
      <c r="E4" s="101" t="s">
        <v>37</v>
      </c>
      <c r="F4" s="105" t="str">
        <f>C4</f>
        <v>002127P</v>
      </c>
      <c r="K4" s="101" t="s">
        <v>42</v>
      </c>
      <c r="L4" s="104"/>
      <c r="M4" s="111">
        <f>SUM(I28:I29)</f>
        <v>0</v>
      </c>
    </row>
    <row r="5" spans="1:26" ht="18" hidden="1" customHeight="1" x14ac:dyDescent="0.25">
      <c r="B5" s="76" t="str">
        <f t="shared" si="0"/>
        <v>Hide</v>
      </c>
      <c r="C5" s="109" t="s">
        <v>1245</v>
      </c>
      <c r="E5" s="101" t="s">
        <v>36</v>
      </c>
      <c r="F5" s="112" t="s">
        <v>1180</v>
      </c>
      <c r="K5" s="101" t="s">
        <v>43</v>
      </c>
      <c r="L5" s="104"/>
      <c r="M5" s="111">
        <f>ROUND(SUM(O28:O29),0)</f>
        <v>0</v>
      </c>
    </row>
    <row r="6" spans="1:26" ht="18" hidden="1" customHeight="1" x14ac:dyDescent="0.25">
      <c r="B6" s="76" t="str">
        <f t="shared" si="0"/>
        <v>Hide</v>
      </c>
      <c r="C6" s="109" t="s">
        <v>1246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ROUND(COUNT(O28:O29),0)</f>
        <v>0</v>
      </c>
      <c r="P6" s="101"/>
      <c r="W6" s="101" t="str">
        <f>"ESTIMATED "&amp;O27&amp;"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E18</f>
        <v>A107851|A107851|A108061|A108407|A108407|A107851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F18</f>
        <v>ITPN-207428|ITPN-207429|ITPN-207443|ITPN-207500|ITPN-207501|ITPN-207428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B17</f>
        <v>Hide</v>
      </c>
      <c r="C12" s="74" t="s">
        <v>1249</v>
      </c>
      <c r="E12" s="74" t="str">
        <f>"A107851"</f>
        <v>A107851</v>
      </c>
      <c r="F12" s="74" t="str">
        <f>"ITPN-207428"</f>
        <v>ITPN-207428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6" si="1">B18</f>
        <v>Hide</v>
      </c>
      <c r="C13" s="74" t="str">
        <f>"""Ceres NTFB Live"",""NTFB Live"",""5766"",""1"",""Invt. Pick"",""2"",""ITPN-207429"""</f>
        <v>"Ceres NTFB Live","NTFB Live","5766","1","Invt. Pick","2","ITPN-207429"</v>
      </c>
      <c r="E13" s="74" t="str">
        <f>"A107851"</f>
        <v>A107851</v>
      </c>
      <c r="F13" s="74" t="str">
        <f>"ITPN-207429"</f>
        <v>ITPN-207429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Pick"",""2"",""ITPN-207443"""</f>
        <v>"Ceres NTFB Live","NTFB Live","5766","1","Invt. Pick","2","ITPN-207443"</v>
      </c>
      <c r="E14" s="74" t="str">
        <f>"A108061"</f>
        <v>A108061</v>
      </c>
      <c r="F14" s="74" t="str">
        <f>"ITPN-207443"</f>
        <v>ITPN-207443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Pick"",""2"",""ITPN-207500"""</f>
        <v>"Ceres NTFB Live","NTFB Live","5766","1","Invt. Pick","2","ITPN-207500"</v>
      </c>
      <c r="E15" s="74" t="str">
        <f>"A108407"</f>
        <v>A108407</v>
      </c>
      <c r="F15" s="74" t="str">
        <f>"ITPN-207500"</f>
        <v>ITPN-207500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Pick"",""2"",""ITPN-207501"""</f>
        <v>"Ceres NTFB Live","NTFB Live","5766","1","Invt. Pick","2","ITPN-207501"</v>
      </c>
      <c r="E16" s="74" t="str">
        <f>"A108407"</f>
        <v>A108407</v>
      </c>
      <c r="F16" s="74" t="str">
        <f>"ITPN-207501"</f>
        <v>ITPN-207501</v>
      </c>
      <c r="I16" s="98"/>
      <c r="J16" s="98"/>
      <c r="K16" s="98"/>
      <c r="L16" s="98"/>
      <c r="M16" s="98"/>
    </row>
    <row r="17" spans="1:17" hidden="1" x14ac:dyDescent="0.25">
      <c r="A17" s="74" t="s">
        <v>6</v>
      </c>
      <c r="B17" s="76" t="str">
        <f t="shared" ref="B17:B27" si="2">B18</f>
        <v>Hide</v>
      </c>
      <c r="C17" s="74" t="s">
        <v>1250</v>
      </c>
      <c r="E17" s="74" t="str">
        <f>E12</f>
        <v>A107851</v>
      </c>
      <c r="F17" s="74" t="str">
        <f>F12</f>
        <v>ITPN-207428</v>
      </c>
      <c r="I17" s="98"/>
      <c r="J17" s="98"/>
      <c r="K17" s="98"/>
      <c r="L17" s="98"/>
      <c r="M17" s="98"/>
    </row>
    <row r="18" spans="1:17" hidden="1" x14ac:dyDescent="0.25">
      <c r="A18" s="74" t="s">
        <v>6</v>
      </c>
      <c r="B18" s="76" t="str">
        <f t="shared" si="2"/>
        <v>Hide</v>
      </c>
      <c r="E18" s="92" t="s">
        <v>1248</v>
      </c>
      <c r="F18" s="92" t="s">
        <v>1247</v>
      </c>
      <c r="I18" s="98"/>
      <c r="J18" s="98"/>
      <c r="K18" s="98"/>
      <c r="L18" s="98"/>
      <c r="M18" s="98"/>
    </row>
    <row r="19" spans="1:17" hidden="1" x14ac:dyDescent="0.25">
      <c r="B19" s="76" t="str">
        <f t="shared" si="2"/>
        <v>Hide</v>
      </c>
      <c r="E19" s="101" t="s">
        <v>20</v>
      </c>
      <c r="F19" s="184" t="s">
        <v>179</v>
      </c>
      <c r="G19" s="185"/>
      <c r="H19" s="185"/>
      <c r="I19" s="185"/>
      <c r="J19" s="185"/>
      <c r="K19" s="185"/>
      <c r="L19" s="185"/>
      <c r="M19" s="186"/>
    </row>
    <row r="20" spans="1:17" hidden="1" x14ac:dyDescent="0.25">
      <c r="B20" s="76" t="str">
        <f t="shared" si="2"/>
        <v>Hide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hidden="1" thickBot="1" x14ac:dyDescent="0.3">
      <c r="B21" s="76" t="str">
        <f t="shared" si="2"/>
        <v>Hide</v>
      </c>
      <c r="F21" s="190"/>
      <c r="G21" s="191"/>
      <c r="H21" s="191"/>
      <c r="I21" s="191"/>
      <c r="J21" s="191"/>
      <c r="K21" s="191"/>
      <c r="L21" s="191"/>
      <c r="M21" s="192"/>
    </row>
    <row r="22" spans="1:17" hidden="1" x14ac:dyDescent="0.25">
      <c r="B22" s="76" t="str">
        <f t="shared" si="2"/>
        <v>Hide</v>
      </c>
    </row>
    <row r="23" spans="1:17" hidden="1" x14ac:dyDescent="0.25">
      <c r="B23" s="76" t="str">
        <f t="shared" si="2"/>
        <v>Hide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hidden="1" x14ac:dyDescent="0.25">
      <c r="B24" s="76" t="str">
        <f t="shared" si="2"/>
        <v>Hide</v>
      </c>
      <c r="E24" s="101"/>
    </row>
    <row r="25" spans="1:17" hidden="1" x14ac:dyDescent="0.25">
      <c r="B25" s="76" t="str">
        <f t="shared" si="2"/>
        <v>Hide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hidden="1" x14ac:dyDescent="0.25">
      <c r="B26" s="76" t="str">
        <f t="shared" si="2"/>
        <v>Hide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hidden="1" customHeight="1" x14ac:dyDescent="0.25">
      <c r="A27" s="97"/>
      <c r="B27" s="76" t="str">
        <f t="shared" si="2"/>
        <v>Hide</v>
      </c>
      <c r="C27" s="117" t="s">
        <v>45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hidden="1" customHeight="1" x14ac:dyDescent="0.25">
      <c r="B28" s="92" t="str">
        <f>IF(I28="","Hide","Show")</f>
        <v>Hide</v>
      </c>
      <c r="C28" s="74" t="s">
        <v>179</v>
      </c>
      <c r="D28" s="89" t="s">
        <v>179</v>
      </c>
      <c r="E28" s="89" t="s">
        <v>179</v>
      </c>
      <c r="F28" s="89" t="s">
        <v>179</v>
      </c>
      <c r="G28" s="91" t="s">
        <v>180</v>
      </c>
      <c r="H28" s="90" t="s">
        <v>179</v>
      </c>
      <c r="I28" s="89" t="s">
        <v>179</v>
      </c>
      <c r="J28" s="89" t="s">
        <v>179</v>
      </c>
      <c r="K28" s="88"/>
      <c r="L28" s="87"/>
      <c r="M28" s="87"/>
      <c r="N28" s="85" t="s">
        <v>179</v>
      </c>
      <c r="O28" s="85" t="s">
        <v>179</v>
      </c>
      <c r="P28" s="85" t="s">
        <v>179</v>
      </c>
      <c r="Q28" s="86" t="s">
        <v>56</v>
      </c>
    </row>
    <row r="29" spans="1:17" hidden="1" x14ac:dyDescent="0.25">
      <c r="B29" s="74" t="str">
        <f>B28</f>
        <v>Hide</v>
      </c>
      <c r="H29" s="85"/>
      <c r="I29" s="85"/>
    </row>
    <row r="30" spans="1:17" ht="15.75" hidden="1" thickBot="1" x14ac:dyDescent="0.3">
      <c r="B30" s="74" t="str">
        <f>+B29</f>
        <v>Hide</v>
      </c>
      <c r="D30" s="193" t="str">
        <f>+"END OF "&amp;D2</f>
        <v>END OF METROCREST SERVICES  (002127P) - NO FRZ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DELIVER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002127P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METROCREST SERVICES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1250</v>
      </c>
      <c r="G36" s="174"/>
      <c r="H36" s="174"/>
      <c r="I36" s="174"/>
      <c r="J36" s="174"/>
      <c r="K36" s="174"/>
      <c r="L36" s="174"/>
      <c r="M36" s="175"/>
    </row>
    <row r="37" spans="1:16" ht="30" hidden="1" customHeight="1" x14ac:dyDescent="0.25">
      <c r="A37" s="76" t="s">
        <v>184</v>
      </c>
      <c r="D37" s="80"/>
      <c r="E37" s="78"/>
      <c r="F37" s="174" t="str">
        <f>"A108061"</f>
        <v>A108061</v>
      </c>
      <c r="G37" s="174"/>
      <c r="H37" s="174"/>
      <c r="I37" s="174"/>
      <c r="J37" s="174"/>
      <c r="K37" s="174"/>
      <c r="L37" s="174"/>
      <c r="M37" s="175"/>
    </row>
    <row r="38" spans="1:16" ht="30" hidden="1" customHeight="1" x14ac:dyDescent="0.25">
      <c r="A38" s="76" t="s">
        <v>184</v>
      </c>
      <c r="D38" s="80"/>
      <c r="E38" s="78"/>
      <c r="F38" s="174" t="str">
        <f>"A108407"</f>
        <v>A108407</v>
      </c>
      <c r="G38" s="174"/>
      <c r="H38" s="174"/>
      <c r="I38" s="174"/>
      <c r="J38" s="174"/>
      <c r="K38" s="174"/>
      <c r="L38" s="174"/>
      <c r="M38" s="175"/>
    </row>
    <row r="39" spans="1:16" ht="15.75" hidden="1" customHeight="1" thickBot="1" x14ac:dyDescent="0.3">
      <c r="A39" s="76" t="s">
        <v>19</v>
      </c>
      <c r="D39" s="80"/>
      <c r="E39" s="78"/>
      <c r="F39" s="78"/>
      <c r="G39" s="79"/>
      <c r="H39" s="78"/>
      <c r="I39" s="78"/>
      <c r="J39" s="78"/>
      <c r="K39" s="78"/>
      <c r="L39" s="78"/>
      <c r="M39" s="77"/>
    </row>
    <row r="40" spans="1:16" ht="36.75" x14ac:dyDescent="0.45">
      <c r="A40" s="76" t="s">
        <v>30</v>
      </c>
      <c r="D40" s="176" t="s">
        <v>50</v>
      </c>
      <c r="E40" s="177"/>
      <c r="F40" s="178">
        <f>+F7</f>
        <v>42612</v>
      </c>
      <c r="G40" s="179"/>
      <c r="H40" s="179"/>
      <c r="I40" s="179"/>
      <c r="J40" s="179"/>
      <c r="K40" s="179"/>
      <c r="L40" s="179"/>
      <c r="M40" s="180"/>
    </row>
    <row r="41" spans="1:16" ht="37.5" thickBot="1" x14ac:dyDescent="0.5">
      <c r="A41" s="76" t="s">
        <v>30</v>
      </c>
      <c r="D41" s="158" t="s">
        <v>32</v>
      </c>
      <c r="E41" s="159"/>
      <c r="F41" s="160"/>
      <c r="G41" s="161"/>
      <c r="H41" s="161"/>
      <c r="I41" s="161"/>
      <c r="J41" s="161"/>
      <c r="K41" s="161"/>
      <c r="L41" s="161"/>
      <c r="M41" s="162"/>
    </row>
    <row r="42" spans="1:16" ht="80.099999999999994" customHeight="1" thickBot="1" x14ac:dyDescent="0.3">
      <c r="A42" s="76" t="s">
        <v>30</v>
      </c>
      <c r="D42" s="163" t="s">
        <v>51</v>
      </c>
      <c r="E42" s="164"/>
      <c r="F42" s="164"/>
      <c r="G42" s="164"/>
      <c r="H42" s="164"/>
      <c r="I42" s="164"/>
      <c r="J42" s="164"/>
      <c r="K42" s="164"/>
      <c r="L42" s="164"/>
      <c r="M42" s="165"/>
    </row>
    <row r="43" spans="1:16" ht="90" customHeight="1" thickBot="1" x14ac:dyDescent="0.3">
      <c r="A43" s="76" t="s">
        <v>30</v>
      </c>
      <c r="D43" s="166" t="str">
        <f>IF(F6="DELIVER",G6,F6)</f>
        <v>COLLIN 3</v>
      </c>
      <c r="E43" s="167"/>
      <c r="F43" s="167"/>
      <c r="G43" s="167"/>
      <c r="H43" s="167"/>
      <c r="I43" s="167"/>
      <c r="J43" s="167"/>
      <c r="K43" s="167"/>
      <c r="L43" s="167"/>
      <c r="M43" s="168"/>
    </row>
    <row r="44" spans="1:16" ht="60" customHeight="1" thickBot="1" x14ac:dyDescent="0.3">
      <c r="A44" s="76" t="s">
        <v>30</v>
      </c>
      <c r="D44" s="169" t="s">
        <v>55</v>
      </c>
      <c r="E44" s="170"/>
      <c r="F44" s="170"/>
      <c r="G44" s="170"/>
      <c r="H44" s="170"/>
      <c r="I44" s="170"/>
      <c r="J44" s="170"/>
      <c r="K44" s="170"/>
      <c r="L44" s="170"/>
      <c r="M44" s="171"/>
    </row>
  </sheetData>
  <mergeCells count="19">
    <mergeCell ref="D40:E40"/>
    <mergeCell ref="F40:M40"/>
    <mergeCell ref="D2:M2"/>
    <mergeCell ref="F19:M21"/>
    <mergeCell ref="D30:M30"/>
    <mergeCell ref="D32:M32"/>
    <mergeCell ref="D33:E33"/>
    <mergeCell ref="F33:M33"/>
    <mergeCell ref="F37:M37"/>
    <mergeCell ref="F38:M38"/>
    <mergeCell ref="D34:E34"/>
    <mergeCell ref="F34:M34"/>
    <mergeCell ref="D35:E35"/>
    <mergeCell ref="F36:M36"/>
    <mergeCell ref="D41:E41"/>
    <mergeCell ref="F41:M41"/>
    <mergeCell ref="D42:M42"/>
    <mergeCell ref="D43:M43"/>
    <mergeCell ref="D44:M44"/>
  </mergeCells>
  <conditionalFormatting sqref="F6">
    <cfRule type="cellIs" dxfId="219" priority="5" operator="equal">
      <formula>"DELIVER"</formula>
    </cfRule>
  </conditionalFormatting>
  <conditionalFormatting sqref="D32">
    <cfRule type="cellIs" dxfId="218" priority="4" operator="equal">
      <formula>"DELIVER"</formula>
    </cfRule>
  </conditionalFormatting>
  <conditionalFormatting sqref="D2:M2">
    <cfRule type="expression" dxfId="217" priority="3">
      <formula>$F$6="DELIVER"</formula>
    </cfRule>
  </conditionalFormatting>
  <conditionalFormatting sqref="G6">
    <cfRule type="expression" dxfId="216" priority="2">
      <formula>$F$6="DELIVER"</formula>
    </cfRule>
  </conditionalFormatting>
  <conditionalFormatting sqref="D43">
    <cfRule type="expression" dxfId="21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6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1693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NORTH DALLAS SHARED MINISTRIES  (002218P) - FRZ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"002218P"</f>
        <v>002218P</v>
      </c>
      <c r="E4" s="101" t="s">
        <v>37</v>
      </c>
      <c r="F4" s="105" t="str">
        <f>C4</f>
        <v>002218P</v>
      </c>
      <c r="K4" s="101" t="s">
        <v>42</v>
      </c>
      <c r="L4" s="104"/>
      <c r="M4" s="111">
        <f>SUM(I25:I32)</f>
        <v>90</v>
      </c>
    </row>
    <row r="5" spans="1:26" ht="18" customHeight="1" x14ac:dyDescent="0.25">
      <c r="B5" s="76" t="str">
        <f t="shared" si="0"/>
        <v>Show</v>
      </c>
      <c r="C5" s="109" t="s">
        <v>1263</v>
      </c>
      <c r="E5" s="101" t="s">
        <v>36</v>
      </c>
      <c r="F5" s="112" t="s">
        <v>1183</v>
      </c>
      <c r="K5" s="101" t="s">
        <v>43</v>
      </c>
      <c r="L5" s="104"/>
      <c r="M5" s="111">
        <f>ROUND(SUM(O25:O32),0)</f>
        <v>2370</v>
      </c>
    </row>
    <row r="6" spans="1:26" ht="18" customHeight="1" x14ac:dyDescent="0.25">
      <c r="B6" s="76" t="str">
        <f t="shared" si="0"/>
        <v>Show</v>
      </c>
      <c r="C6" s="109" t="s">
        <v>1264</v>
      </c>
      <c r="E6" s="101" t="s">
        <v>38</v>
      </c>
      <c r="F6" s="105" t="s">
        <v>60</v>
      </c>
      <c r="G6" s="110" t="s">
        <v>1200</v>
      </c>
      <c r="I6" s="109"/>
      <c r="J6" s="109"/>
      <c r="K6" s="108" t="s">
        <v>58</v>
      </c>
      <c r="L6" s="108"/>
      <c r="M6" s="107">
        <f>ROUND(COUNT(O25:O32),0)</f>
        <v>7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A107923|A108183|A107923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ITPN-207432|ITPN-207448|ITPN-207432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1265</v>
      </c>
      <c r="E12" s="74" t="s">
        <v>1257</v>
      </c>
      <c r="F12" s="74" t="s">
        <v>1258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Pick"",""2"",""ITPN-207448"""</f>
        <v>"Ceres NTFB Live","NTFB Live","5766","1","Invt. Pick","2","ITPN-207448"</v>
      </c>
      <c r="E13" s="74" t="s">
        <v>1259</v>
      </c>
      <c r="F13" s="74" t="s">
        <v>1260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1257</v>
      </c>
      <c r="E14" s="74" t="str">
        <f>E12</f>
        <v>A107923</v>
      </c>
      <c r="F14" s="74" t="str">
        <f>F12</f>
        <v>ITPN-207432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1261</v>
      </c>
      <c r="F15" s="92" t="s">
        <v>1262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117" t="s">
        <v>45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1494</v>
      </c>
      <c r="D25" s="89" t="str">
        <f>"52-07-01"</f>
        <v>52-07-01</v>
      </c>
      <c r="E25" s="89" t="str">
        <f>"P00191136"</f>
        <v>P00191136</v>
      </c>
      <c r="F25" s="89" t="str">
        <f>"1000001611"</f>
        <v>1000001611</v>
      </c>
      <c r="G25" s="91" t="s">
        <v>1493</v>
      </c>
      <c r="H25" s="90" t="str">
        <f>"BEEF, ASSORTED MEAT BOX, FROZEN"</f>
        <v>BEEF, ASSORTED MEAT BOX, FROZEN</v>
      </c>
      <c r="I25" s="89">
        <v>4</v>
      </c>
      <c r="J25" s="89" t="str">
        <f t="shared" ref="J25:J31" si="2">"CS"</f>
        <v>CS</v>
      </c>
      <c r="K25" s="88"/>
      <c r="L25" s="87"/>
      <c r="M25" s="87"/>
      <c r="N25" s="85" t="s">
        <v>179</v>
      </c>
      <c r="O25" s="85">
        <v>96</v>
      </c>
      <c r="P25" s="85" t="str">
        <f t="shared" ref="P25:P31" si="3">"FRZ"</f>
        <v>FRZ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31" si="4">IF(I26="","Hide","Show")</f>
        <v>Show</v>
      </c>
      <c r="C26" s="74" t="str">
        <f>"""Ceres NTFB Live"",""NTFB Live"",""5767"",""1"",""Invt. Pick"",""2"",""ITPN-207432"",""3"",""90000"""</f>
        <v>"Ceres NTFB Live","NTFB Live","5767","1","Invt. Pick","2","ITPN-207432","3","90000"</v>
      </c>
      <c r="D26" s="89" t="str">
        <f>"52-29-01"</f>
        <v>52-29-01</v>
      </c>
      <c r="E26" s="89" t="str">
        <f>"P00179562"</f>
        <v>P00179562</v>
      </c>
      <c r="F26" s="89" t="str">
        <f>"1000001612"</f>
        <v>1000001612</v>
      </c>
      <c r="G26" s="91" t="s">
        <v>1493</v>
      </c>
      <c r="H26" s="90" t="str">
        <f>"POULTRY, ASSORTED MEAT BOX, FROZEN"</f>
        <v>POULTRY, ASSORTED MEAT BOX, FROZEN</v>
      </c>
      <c r="I26" s="89">
        <v>16</v>
      </c>
      <c r="J26" s="89" t="str">
        <f t="shared" si="2"/>
        <v>CS</v>
      </c>
      <c r="K26" s="88"/>
      <c r="L26" s="87"/>
      <c r="M26" s="87"/>
      <c r="N26" s="85" t="s">
        <v>179</v>
      </c>
      <c r="O26" s="85">
        <v>432</v>
      </c>
      <c r="P26" s="85" t="str">
        <f t="shared" si="3"/>
        <v>FRZ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4"/>
        <v>Show</v>
      </c>
      <c r="C27" s="74" t="str">
        <f>"""Ceres NTFB Live"",""NTFB Live"",""5767"",""1"",""Invt. Pick"",""2"",""ITPN-207432"",""3"",""30000"""</f>
        <v>"Ceres NTFB Live","NTFB Live","5767","1","Invt. Pick","2","ITPN-207432","3","30000"</v>
      </c>
      <c r="D27" s="89" t="str">
        <f>"53-04-01"</f>
        <v>53-04-01</v>
      </c>
      <c r="E27" s="89" t="str">
        <f>"P00191139"</f>
        <v>P00191139</v>
      </c>
      <c r="F27" s="89" t="str">
        <f>"1000001611"</f>
        <v>1000001611</v>
      </c>
      <c r="G27" s="91" t="s">
        <v>1493</v>
      </c>
      <c r="H27" s="90" t="str">
        <f>"BEEF, ASSORTED MEAT BOX, FROZEN"</f>
        <v>BEEF, ASSORTED MEAT BOX, FROZEN</v>
      </c>
      <c r="I27" s="89">
        <v>16</v>
      </c>
      <c r="J27" s="89" t="str">
        <f t="shared" si="2"/>
        <v>CS</v>
      </c>
      <c r="K27" s="88"/>
      <c r="L27" s="87"/>
      <c r="M27" s="87"/>
      <c r="N27" s="85" t="s">
        <v>179</v>
      </c>
      <c r="O27" s="85">
        <v>384</v>
      </c>
      <c r="P27" s="85" t="str">
        <f t="shared" si="3"/>
        <v>FRZ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4"/>
        <v>Show</v>
      </c>
      <c r="C28" s="74" t="str">
        <f>"""Ceres NTFB Live"",""NTFB Live"",""5767"",""1"",""Invt. Pick"",""2"",""ITPN-207432"",""3"",""70000"""</f>
        <v>"Ceres NTFB Live","NTFB Live","5767","1","Invt. Pick","2","ITPN-207432","3","70000"</v>
      </c>
      <c r="D28" s="89" t="str">
        <f>"53-40-01"</f>
        <v>53-40-01</v>
      </c>
      <c r="E28" s="89" t="str">
        <f>"P00179561"</f>
        <v>P00179561</v>
      </c>
      <c r="F28" s="89" t="str">
        <f>"1000001612"</f>
        <v>1000001612</v>
      </c>
      <c r="G28" s="91" t="s">
        <v>1493</v>
      </c>
      <c r="H28" s="90" t="str">
        <f>"POULTRY, ASSORTED MEAT BOX, FROZEN"</f>
        <v>POULTRY, ASSORTED MEAT BOX, FROZEN</v>
      </c>
      <c r="I28" s="89">
        <v>4</v>
      </c>
      <c r="J28" s="89" t="str">
        <f t="shared" si="2"/>
        <v>CS</v>
      </c>
      <c r="K28" s="88"/>
      <c r="L28" s="87"/>
      <c r="M28" s="87"/>
      <c r="N28" s="85" t="s">
        <v>179</v>
      </c>
      <c r="O28" s="85">
        <v>108</v>
      </c>
      <c r="P28" s="85" t="str">
        <f t="shared" si="3"/>
        <v>FRZ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si="4"/>
        <v>Show</v>
      </c>
      <c r="C29" s="74" t="str">
        <f>"""Ceres NTFB Live"",""NTFB Live"",""5767"",""1"",""Invt. Pick"",""2"",""ITPN-207432"",""3"",""60000"""</f>
        <v>"Ceres NTFB Live","NTFB Live","5767","1","Invt. Pick","2","ITPN-207432","3","60000"</v>
      </c>
      <c r="D29" s="89" t="str">
        <f>"54-04-01"</f>
        <v>54-04-01</v>
      </c>
      <c r="E29" s="89" t="str">
        <f>"P00193398"</f>
        <v>P00193398</v>
      </c>
      <c r="F29" s="89" t="str">
        <f>"1000003611"</f>
        <v>1000003611</v>
      </c>
      <c r="G29" s="91" t="s">
        <v>1493</v>
      </c>
      <c r="H29" s="90" t="str">
        <f>"GROUND CHICKEN CHUBS, FROZEN - CO-OP"</f>
        <v>GROUND CHICKEN CHUBS, FROZEN - CO-OP</v>
      </c>
      <c r="I29" s="89">
        <v>18</v>
      </c>
      <c r="J29" s="89" t="str">
        <f t="shared" si="2"/>
        <v>CS</v>
      </c>
      <c r="K29" s="88"/>
      <c r="L29" s="87"/>
      <c r="M29" s="87"/>
      <c r="N29" s="85" t="s">
        <v>179</v>
      </c>
      <c r="O29" s="85">
        <v>486</v>
      </c>
      <c r="P29" s="85" t="str">
        <f t="shared" si="3"/>
        <v>FRZ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4"/>
        <v>Show</v>
      </c>
      <c r="C30" s="74" t="str">
        <f>"""Ceres NTFB Live"",""NTFB Live"",""5767"",""1"",""Invt. Pick"",""2"",""ITPN-207432"",""3"",""40000"""</f>
        <v>"Ceres NTFB Live","NTFB Live","5767","1","Invt. Pick","2","ITPN-207432","3","40000"</v>
      </c>
      <c r="D30" s="89" t="str">
        <f>"54-16-01"</f>
        <v>54-16-01</v>
      </c>
      <c r="E30" s="89" t="str">
        <f>"P00193397"</f>
        <v>P00193397</v>
      </c>
      <c r="F30" s="89" t="str">
        <f>"1000003611"</f>
        <v>1000003611</v>
      </c>
      <c r="G30" s="91" t="s">
        <v>1493</v>
      </c>
      <c r="H30" s="90" t="str">
        <f>"GROUND CHICKEN CHUBS, FROZEN - CO-OP"</f>
        <v>GROUND CHICKEN CHUBS, FROZEN - CO-OP</v>
      </c>
      <c r="I30" s="89">
        <v>12</v>
      </c>
      <c r="J30" s="89" t="str">
        <f t="shared" si="2"/>
        <v>CS</v>
      </c>
      <c r="K30" s="88"/>
      <c r="L30" s="87"/>
      <c r="M30" s="87"/>
      <c r="N30" s="85" t="s">
        <v>179</v>
      </c>
      <c r="O30" s="85">
        <v>324</v>
      </c>
      <c r="P30" s="85" t="str">
        <f t="shared" si="3"/>
        <v>FRZ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si="4"/>
        <v>Show</v>
      </c>
      <c r="C31" s="74" t="str">
        <f>"""Ceres NTFB Live"",""NTFB Live"",""5767"",""1"",""Invt. Pick"",""2"",""ITPN-207448"",""3"",""121000"""</f>
        <v>"Ceres NTFB Live","NTFB Live","5767","1","Invt. Pick","2","ITPN-207448","3","121000"</v>
      </c>
      <c r="D31" s="89" t="str">
        <f>"54-18-01"</f>
        <v>54-18-01</v>
      </c>
      <c r="E31" s="89" t="str">
        <f>"P00168066"</f>
        <v>P00168066</v>
      </c>
      <c r="F31" s="89" t="str">
        <f>"1000002785"</f>
        <v>1000002785</v>
      </c>
      <c r="G31" s="91" t="s">
        <v>1266</v>
      </c>
      <c r="H31" s="90" t="str">
        <f>"USDA JUICE, ORANGE, FROZEN"</f>
        <v>USDA JUICE, ORANGE, FROZEN</v>
      </c>
      <c r="I31" s="89">
        <v>20</v>
      </c>
      <c r="J31" s="89" t="str">
        <f t="shared" si="2"/>
        <v>CS</v>
      </c>
      <c r="K31" s="88"/>
      <c r="L31" s="87"/>
      <c r="M31" s="87"/>
      <c r="N31" s="85" t="s">
        <v>179</v>
      </c>
      <c r="O31" s="85">
        <v>540</v>
      </c>
      <c r="P31" s="85" t="str">
        <f t="shared" si="3"/>
        <v>FRZ</v>
      </c>
      <c r="Q31" s="86" t="s">
        <v>56</v>
      </c>
    </row>
    <row r="32" spans="1:17" ht="15.75" thickBot="1" x14ac:dyDescent="0.3">
      <c r="B32" s="74" t="str">
        <f>B25</f>
        <v>Show</v>
      </c>
      <c r="H32" s="85"/>
      <c r="I32" s="85"/>
    </row>
    <row r="33" spans="1:16" ht="15.75" thickBot="1" x14ac:dyDescent="0.3">
      <c r="B33" s="74" t="str">
        <f>+B32</f>
        <v>Show</v>
      </c>
      <c r="D33" s="193" t="str">
        <f>+"END OF "&amp;D2</f>
        <v>END OF NORTH DALLAS SHARED MINISTRIES  (002218P) - FRZ PICK LIST</v>
      </c>
      <c r="E33" s="194"/>
      <c r="F33" s="194"/>
      <c r="G33" s="194"/>
      <c r="H33" s="194"/>
      <c r="I33" s="194"/>
      <c r="J33" s="194"/>
      <c r="K33" s="194"/>
      <c r="L33" s="194"/>
      <c r="M33" s="195"/>
    </row>
    <row r="34" spans="1:16" ht="15.75" thickBot="1" x14ac:dyDescent="0.3"/>
    <row r="35" spans="1:16" ht="80.099999999999994" customHeight="1" thickBot="1" x14ac:dyDescent="0.3">
      <c r="A35" s="76" t="s">
        <v>30</v>
      </c>
      <c r="D35" s="166" t="str">
        <f>+F6</f>
        <v>DELIVER</v>
      </c>
      <c r="E35" s="167"/>
      <c r="F35" s="167"/>
      <c r="G35" s="167"/>
      <c r="H35" s="167"/>
      <c r="I35" s="167"/>
      <c r="J35" s="167"/>
      <c r="K35" s="167"/>
      <c r="L35" s="167"/>
      <c r="M35" s="168"/>
    </row>
    <row r="36" spans="1:16" ht="36.75" x14ac:dyDescent="0.45">
      <c r="A36" s="76" t="s">
        <v>30</v>
      </c>
      <c r="D36" s="176" t="s">
        <v>12</v>
      </c>
      <c r="E36" s="177"/>
      <c r="F36" s="196" t="str">
        <f>+F4</f>
        <v>002218P</v>
      </c>
      <c r="G36" s="196"/>
      <c r="H36" s="196"/>
      <c r="I36" s="196"/>
      <c r="J36" s="196"/>
      <c r="K36" s="196"/>
      <c r="L36" s="196"/>
      <c r="M36" s="197"/>
    </row>
    <row r="37" spans="1:16" ht="37.5" customHeight="1" thickBot="1" x14ac:dyDescent="0.5">
      <c r="A37" s="76" t="s">
        <v>30</v>
      </c>
      <c r="D37" s="158" t="s">
        <v>5</v>
      </c>
      <c r="E37" s="159"/>
      <c r="F37" s="161" t="str">
        <f>+F5</f>
        <v>NORTH DALLAS SHARED MINISTRIES</v>
      </c>
      <c r="G37" s="161"/>
      <c r="H37" s="161"/>
      <c r="I37" s="161"/>
      <c r="J37" s="161"/>
      <c r="K37" s="161"/>
      <c r="L37" s="161"/>
      <c r="M37" s="162"/>
      <c r="N37" s="84"/>
      <c r="O37" s="84"/>
      <c r="P37" s="84"/>
    </row>
    <row r="38" spans="1:16" ht="33.75" hidden="1" thickBot="1" x14ac:dyDescent="0.45">
      <c r="A38" s="76" t="s">
        <v>19</v>
      </c>
      <c r="D38" s="172" t="s">
        <v>49</v>
      </c>
      <c r="E38" s="173"/>
      <c r="F38" s="82"/>
      <c r="G38" s="83"/>
      <c r="H38" s="82"/>
      <c r="I38" s="82"/>
      <c r="J38" s="82"/>
      <c r="K38" s="82"/>
      <c r="L38" s="82"/>
      <c r="M38" s="81"/>
    </row>
    <row r="39" spans="1:16" ht="30" hidden="1" customHeight="1" x14ac:dyDescent="0.25">
      <c r="A39" s="76" t="s">
        <v>19</v>
      </c>
      <c r="D39" s="80"/>
      <c r="E39" s="78"/>
      <c r="F39" s="174" t="s">
        <v>1257</v>
      </c>
      <c r="G39" s="174"/>
      <c r="H39" s="174"/>
      <c r="I39" s="174"/>
      <c r="J39" s="174"/>
      <c r="K39" s="174"/>
      <c r="L39" s="174"/>
      <c r="M39" s="175"/>
    </row>
    <row r="40" spans="1:16" ht="30" hidden="1" customHeight="1" x14ac:dyDescent="0.25">
      <c r="A40" s="76" t="s">
        <v>184</v>
      </c>
      <c r="D40" s="80"/>
      <c r="E40" s="78"/>
      <c r="F40" s="174" t="str">
        <f>"A108183"</f>
        <v>A108183</v>
      </c>
      <c r="G40" s="174"/>
      <c r="H40" s="174"/>
      <c r="I40" s="174"/>
      <c r="J40" s="174"/>
      <c r="K40" s="174"/>
      <c r="L40" s="174"/>
      <c r="M40" s="175"/>
    </row>
    <row r="41" spans="1:16" ht="15.75" hidden="1" customHeight="1" thickBot="1" x14ac:dyDescent="0.3">
      <c r="A41" s="76" t="s">
        <v>19</v>
      </c>
      <c r="D41" s="80"/>
      <c r="E41" s="78"/>
      <c r="F41" s="78"/>
      <c r="G41" s="79"/>
      <c r="H41" s="78"/>
      <c r="I41" s="78"/>
      <c r="J41" s="78"/>
      <c r="K41" s="78"/>
      <c r="L41" s="78"/>
      <c r="M41" s="77"/>
    </row>
    <row r="42" spans="1:16" ht="36.75" x14ac:dyDescent="0.45">
      <c r="A42" s="76" t="s">
        <v>30</v>
      </c>
      <c r="D42" s="176" t="s">
        <v>50</v>
      </c>
      <c r="E42" s="177"/>
      <c r="F42" s="178">
        <f>+F7</f>
        <v>42612</v>
      </c>
      <c r="G42" s="179"/>
      <c r="H42" s="179"/>
      <c r="I42" s="179"/>
      <c r="J42" s="179"/>
      <c r="K42" s="179"/>
      <c r="L42" s="179"/>
      <c r="M42" s="180"/>
    </row>
    <row r="43" spans="1:16" ht="37.5" thickBot="1" x14ac:dyDescent="0.5">
      <c r="A43" s="76" t="s">
        <v>30</v>
      </c>
      <c r="D43" s="158" t="s">
        <v>32</v>
      </c>
      <c r="E43" s="159"/>
      <c r="F43" s="160"/>
      <c r="G43" s="161"/>
      <c r="H43" s="161"/>
      <c r="I43" s="161"/>
      <c r="J43" s="161"/>
      <c r="K43" s="161"/>
      <c r="L43" s="161"/>
      <c r="M43" s="162"/>
    </row>
    <row r="44" spans="1:16" ht="80.099999999999994" customHeight="1" thickBot="1" x14ac:dyDescent="0.3">
      <c r="A44" s="76" t="s">
        <v>30</v>
      </c>
      <c r="D44" s="163" t="s">
        <v>51</v>
      </c>
      <c r="E44" s="164"/>
      <c r="F44" s="164"/>
      <c r="G44" s="164"/>
      <c r="H44" s="164"/>
      <c r="I44" s="164"/>
      <c r="J44" s="164"/>
      <c r="K44" s="164"/>
      <c r="L44" s="164"/>
      <c r="M44" s="165"/>
    </row>
    <row r="45" spans="1:16" ht="90" customHeight="1" thickBot="1" x14ac:dyDescent="0.3">
      <c r="A45" s="76" t="s">
        <v>30</v>
      </c>
      <c r="D45" s="166" t="str">
        <f>IF(F6="DELIVER",G6,F6)</f>
        <v>DALLAS 4</v>
      </c>
      <c r="E45" s="167"/>
      <c r="F45" s="167"/>
      <c r="G45" s="167"/>
      <c r="H45" s="167"/>
      <c r="I45" s="167"/>
      <c r="J45" s="167"/>
      <c r="K45" s="167"/>
      <c r="L45" s="167"/>
      <c r="M45" s="168"/>
    </row>
    <row r="46" spans="1:16" ht="60" customHeight="1" thickBot="1" x14ac:dyDescent="0.3">
      <c r="A46" s="76" t="s">
        <v>30</v>
      </c>
      <c r="D46" s="169" t="s">
        <v>55</v>
      </c>
      <c r="E46" s="170"/>
      <c r="F46" s="170"/>
      <c r="G46" s="170"/>
      <c r="H46" s="170"/>
      <c r="I46" s="170"/>
      <c r="J46" s="170"/>
      <c r="K46" s="170"/>
      <c r="L46" s="170"/>
      <c r="M46" s="171"/>
    </row>
  </sheetData>
  <mergeCells count="18">
    <mergeCell ref="D42:E42"/>
    <mergeCell ref="F42:M42"/>
    <mergeCell ref="D2:M2"/>
    <mergeCell ref="F16:M18"/>
    <mergeCell ref="D33:M33"/>
    <mergeCell ref="D35:M35"/>
    <mergeCell ref="D36:E36"/>
    <mergeCell ref="F36:M36"/>
    <mergeCell ref="F40:M40"/>
    <mergeCell ref="D37:E37"/>
    <mergeCell ref="F37:M37"/>
    <mergeCell ref="D38:E38"/>
    <mergeCell ref="F39:M39"/>
    <mergeCell ref="D43:E43"/>
    <mergeCell ref="F43:M43"/>
    <mergeCell ref="D44:M44"/>
    <mergeCell ref="D45:M45"/>
    <mergeCell ref="D46:M46"/>
  </mergeCells>
  <conditionalFormatting sqref="F6">
    <cfRule type="cellIs" dxfId="214" priority="5" operator="equal">
      <formula>"DELIVER"</formula>
    </cfRule>
  </conditionalFormatting>
  <conditionalFormatting sqref="D35">
    <cfRule type="cellIs" dxfId="213" priority="4" operator="equal">
      <formula>"DELIVER"</formula>
    </cfRule>
  </conditionalFormatting>
  <conditionalFormatting sqref="D2:M2">
    <cfRule type="expression" dxfId="212" priority="3">
      <formula>$F$6="DELIVER"</formula>
    </cfRule>
  </conditionalFormatting>
  <conditionalFormatting sqref="G6">
    <cfRule type="expression" dxfId="211" priority="2">
      <formula>$F$6="DELIVER"</formula>
    </cfRule>
  </conditionalFormatting>
  <conditionalFormatting sqref="D45">
    <cfRule type="expression" dxfId="21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3" max="16383" man="1"/>
  </rowBreaks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1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1695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IF(F30="","HIDESHEET","")</f>
        <v/>
      </c>
      <c r="C2" s="74" t="s">
        <v>7</v>
      </c>
      <c r="D2" s="181" t="str">
        <f>IF(E30="",F5&amp;"  ("&amp;F4&amp;") - NO "&amp;C29,F5&amp;"  ("&amp;F4&amp;") - "&amp;C29&amp;" PICK LIST")</f>
        <v>WHITE ROCK CENTER HOPE/SEDEA  (002341P) - FRZ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"002341P"</f>
        <v>002341P</v>
      </c>
      <c r="E4" s="101" t="s">
        <v>37</v>
      </c>
      <c r="F4" s="105" t="str">
        <f>C4</f>
        <v>002341P</v>
      </c>
      <c r="K4" s="101" t="s">
        <v>42</v>
      </c>
      <c r="L4" s="104"/>
      <c r="M4" s="111">
        <f>SUM(I30:I34)</f>
        <v>61</v>
      </c>
    </row>
    <row r="5" spans="1:26" ht="18" customHeight="1" x14ac:dyDescent="0.25">
      <c r="B5" s="76" t="str">
        <f t="shared" si="0"/>
        <v>Show</v>
      </c>
      <c r="C5" s="109" t="s">
        <v>1268</v>
      </c>
      <c r="E5" s="101" t="s">
        <v>36</v>
      </c>
      <c r="F5" s="112" t="s">
        <v>1196</v>
      </c>
      <c r="K5" s="101" t="s">
        <v>43</v>
      </c>
      <c r="L5" s="104"/>
      <c r="M5" s="111">
        <f>ROUND(SUM(O30:O34),0)</f>
        <v>957</v>
      </c>
    </row>
    <row r="6" spans="1:26" ht="18" customHeight="1" x14ac:dyDescent="0.25">
      <c r="B6" s="76" t="str">
        <f t="shared" si="0"/>
        <v>Show</v>
      </c>
      <c r="C6" s="109" t="s">
        <v>1269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ROUND(COUNT(O30:O34),0)</f>
        <v>4</v>
      </c>
      <c r="P6" s="101"/>
      <c r="W6" s="101" t="str">
        <f>"ESTIMATED "&amp;O29&amp;"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E20</f>
        <v>A107826|A107826|A108003|A108192|A108400|A108471|A108471|A107826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F20</f>
        <v>ITPN-207426|ITPN-207427|ITPN-207436|ITPN-207450|ITPN-207495|ITPN-207505|ITPN-207506|ITPN-207426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B19</f>
        <v>Show</v>
      </c>
      <c r="C12" s="74" t="s">
        <v>1268</v>
      </c>
      <c r="E12" s="74" t="str">
        <f>"A107826"</f>
        <v>A107826</v>
      </c>
      <c r="F12" s="74" t="str">
        <f>"ITPN-207426"</f>
        <v>ITPN-207426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8" si="1">B20</f>
        <v>Show</v>
      </c>
      <c r="C13" s="74" t="str">
        <f>"""Ceres NTFB Live"",""NTFB Live"",""5766"",""1"",""Invt. Pick"",""2"",""ITPN-207427"""</f>
        <v>"Ceres NTFB Live","NTFB Live","5766","1","Invt. Pick","2","ITPN-207427"</v>
      </c>
      <c r="E13" s="74" t="str">
        <f>"A107826"</f>
        <v>A107826</v>
      </c>
      <c r="F13" s="74" t="str">
        <f>"ITPN-207427"</f>
        <v>ITPN-207427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Pick"",""2"",""ITPN-207436"""</f>
        <v>"Ceres NTFB Live","NTFB Live","5766","1","Invt. Pick","2","ITPN-207436"</v>
      </c>
      <c r="E14" s="74" t="str">
        <f>"A108003"</f>
        <v>A108003</v>
      </c>
      <c r="F14" s="74" t="str">
        <f>"ITPN-207436"</f>
        <v>ITPN-207436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173</v>
      </c>
      <c r="B15" s="76" t="str">
        <f t="shared" si="1"/>
        <v>Show</v>
      </c>
      <c r="C15" s="74" t="str">
        <f>"""Ceres NTFB Live"",""NTFB Live"",""5766"",""1"",""Invt. Pick"",""2"",""ITPN-207450"""</f>
        <v>"Ceres NTFB Live","NTFB Live","5766","1","Invt. Pick","2","ITPN-207450"</v>
      </c>
      <c r="E15" s="74" t="str">
        <f>"A108192"</f>
        <v>A108192</v>
      </c>
      <c r="F15" s="74" t="str">
        <f>"ITPN-207450"</f>
        <v>ITPN-207450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173</v>
      </c>
      <c r="B16" s="76" t="str">
        <f t="shared" si="1"/>
        <v>Show</v>
      </c>
      <c r="C16" s="74" t="str">
        <f>"""Ceres NTFB Live"",""NTFB Live"",""5766"",""1"",""Invt. Pick"",""2"",""ITPN-207495"""</f>
        <v>"Ceres NTFB Live","NTFB Live","5766","1","Invt. Pick","2","ITPN-207495"</v>
      </c>
      <c r="E16" s="74" t="str">
        <f>"A108400"</f>
        <v>A108400</v>
      </c>
      <c r="F16" s="74" t="str">
        <f>"ITPN-207495"</f>
        <v>ITPN-207495</v>
      </c>
      <c r="I16" s="98"/>
      <c r="J16" s="98"/>
      <c r="K16" s="98"/>
      <c r="L16" s="98"/>
      <c r="M16" s="98"/>
    </row>
    <row r="17" spans="1:17" ht="15.75" hidden="1" thickBot="1" x14ac:dyDescent="0.3">
      <c r="A17" s="74" t="s">
        <v>173</v>
      </c>
      <c r="B17" s="76" t="str">
        <f t="shared" si="1"/>
        <v>Show</v>
      </c>
      <c r="C17" s="74" t="str">
        <f>"""Ceres NTFB Live"",""NTFB Live"",""5766"",""1"",""Invt. Pick"",""2"",""ITPN-207505"""</f>
        <v>"Ceres NTFB Live","NTFB Live","5766","1","Invt. Pick","2","ITPN-207505"</v>
      </c>
      <c r="E17" s="74" t="str">
        <f>"A108471"</f>
        <v>A108471</v>
      </c>
      <c r="F17" s="74" t="str">
        <f>"ITPN-207505"</f>
        <v>ITPN-207505</v>
      </c>
      <c r="I17" s="98"/>
      <c r="J17" s="98"/>
      <c r="K17" s="98"/>
      <c r="L17" s="98"/>
      <c r="M17" s="98"/>
    </row>
    <row r="18" spans="1:17" ht="15.75" hidden="1" thickBot="1" x14ac:dyDescent="0.3">
      <c r="A18" s="74" t="s">
        <v>173</v>
      </c>
      <c r="B18" s="76" t="str">
        <f t="shared" si="1"/>
        <v>Show</v>
      </c>
      <c r="C18" s="74" t="str">
        <f>"""Ceres NTFB Live"",""NTFB Live"",""5766"",""1"",""Invt. Pick"",""2"",""ITPN-207506"""</f>
        <v>"Ceres NTFB Live","NTFB Live","5766","1","Invt. Pick","2","ITPN-207506"</v>
      </c>
      <c r="E18" s="74" t="str">
        <f>"A108471"</f>
        <v>A108471</v>
      </c>
      <c r="F18" s="74" t="str">
        <f>"ITPN-207506"</f>
        <v>ITPN-207506</v>
      </c>
      <c r="I18" s="98"/>
      <c r="J18" s="98"/>
      <c r="K18" s="98"/>
      <c r="L18" s="98"/>
      <c r="M18" s="98"/>
    </row>
    <row r="19" spans="1:17" ht="15.75" hidden="1" thickBot="1" x14ac:dyDescent="0.3">
      <c r="A19" s="74" t="s">
        <v>6</v>
      </c>
      <c r="B19" s="76" t="str">
        <f t="shared" ref="B19:B29" si="2">B20</f>
        <v>Show</v>
      </c>
      <c r="C19" s="74" t="s">
        <v>1270</v>
      </c>
      <c r="E19" s="74" t="str">
        <f>E12</f>
        <v>A107826</v>
      </c>
      <c r="F19" s="74" t="str">
        <f>F12</f>
        <v>ITPN-207426</v>
      </c>
      <c r="I19" s="98"/>
      <c r="J19" s="98"/>
      <c r="K19" s="98"/>
      <c r="L19" s="98"/>
      <c r="M19" s="98"/>
    </row>
    <row r="20" spans="1:17" ht="15.75" hidden="1" thickBot="1" x14ac:dyDescent="0.3">
      <c r="A20" s="74" t="s">
        <v>6</v>
      </c>
      <c r="B20" s="76" t="str">
        <f t="shared" si="2"/>
        <v>Show</v>
      </c>
      <c r="E20" s="92" t="s">
        <v>1800</v>
      </c>
      <c r="F20" s="92" t="s">
        <v>1799</v>
      </c>
      <c r="I20" s="98"/>
      <c r="J20" s="98"/>
      <c r="K20" s="98"/>
      <c r="L20" s="98"/>
      <c r="M20" s="98"/>
    </row>
    <row r="21" spans="1:17" x14ac:dyDescent="0.25">
      <c r="B21" s="76" t="str">
        <f t="shared" si="2"/>
        <v>Show</v>
      </c>
      <c r="E21" s="101" t="s">
        <v>20</v>
      </c>
      <c r="F21" s="184" t="s">
        <v>179</v>
      </c>
      <c r="G21" s="185"/>
      <c r="H21" s="185"/>
      <c r="I21" s="185"/>
      <c r="J21" s="185"/>
      <c r="K21" s="185"/>
      <c r="L21" s="185"/>
      <c r="M21" s="186"/>
    </row>
    <row r="22" spans="1:17" x14ac:dyDescent="0.25">
      <c r="B22" s="76" t="str">
        <f t="shared" si="2"/>
        <v>Show</v>
      </c>
      <c r="F22" s="187"/>
      <c r="G22" s="188"/>
      <c r="H22" s="188"/>
      <c r="I22" s="188"/>
      <c r="J22" s="188"/>
      <c r="K22" s="188"/>
      <c r="L22" s="188"/>
      <c r="M22" s="189"/>
    </row>
    <row r="23" spans="1:17" ht="15.75" thickBot="1" x14ac:dyDescent="0.3">
      <c r="B23" s="76" t="str">
        <f t="shared" si="2"/>
        <v>Show</v>
      </c>
      <c r="F23" s="190"/>
      <c r="G23" s="191"/>
      <c r="H23" s="191"/>
      <c r="I23" s="191"/>
      <c r="J23" s="191"/>
      <c r="K23" s="191"/>
      <c r="L23" s="191"/>
      <c r="M23" s="192"/>
    </row>
    <row r="24" spans="1:17" x14ac:dyDescent="0.25">
      <c r="B24" s="76" t="str">
        <f t="shared" si="2"/>
        <v>Show</v>
      </c>
    </row>
    <row r="25" spans="1:17" x14ac:dyDescent="0.25">
      <c r="B25" s="76" t="str">
        <f t="shared" si="2"/>
        <v>Show</v>
      </c>
      <c r="E25" s="101" t="s">
        <v>33</v>
      </c>
      <c r="F25" s="100"/>
      <c r="G25" s="102"/>
      <c r="H25" s="101" t="s">
        <v>53</v>
      </c>
      <c r="I25" s="100"/>
      <c r="J25" s="100"/>
      <c r="K25" s="100"/>
    </row>
    <row r="26" spans="1:17" x14ac:dyDescent="0.25">
      <c r="B26" s="76" t="str">
        <f t="shared" si="2"/>
        <v>Show</v>
      </c>
      <c r="E26" s="101"/>
    </row>
    <row r="27" spans="1:17" x14ac:dyDescent="0.25">
      <c r="B27" s="76" t="str">
        <f t="shared" si="2"/>
        <v>Show</v>
      </c>
      <c r="E27" s="101" t="s">
        <v>32</v>
      </c>
      <c r="F27" s="100"/>
      <c r="G27" s="102"/>
      <c r="H27" s="101" t="s">
        <v>54</v>
      </c>
      <c r="I27" s="100"/>
      <c r="J27" s="100"/>
      <c r="K27" s="100"/>
    </row>
    <row r="28" spans="1:17" x14ac:dyDescent="0.25">
      <c r="B28" s="76" t="str">
        <f t="shared" si="2"/>
        <v>Show</v>
      </c>
      <c r="C28" s="74" t="s">
        <v>52</v>
      </c>
      <c r="D28" s="74" t="s">
        <v>52</v>
      </c>
      <c r="F28" s="99"/>
      <c r="I28" s="98"/>
      <c r="J28" s="98"/>
      <c r="K28" s="98"/>
      <c r="L28" s="98"/>
      <c r="M28" s="98"/>
    </row>
    <row r="29" spans="1:17" s="75" customFormat="1" ht="15.95" customHeight="1" x14ac:dyDescent="0.25">
      <c r="A29" s="97"/>
      <c r="B29" s="76" t="str">
        <f t="shared" si="2"/>
        <v>Show</v>
      </c>
      <c r="C29" s="117" t="s">
        <v>45</v>
      </c>
      <c r="D29" s="94" t="s">
        <v>28</v>
      </c>
      <c r="E29" s="94" t="s">
        <v>26</v>
      </c>
      <c r="F29" s="94" t="s">
        <v>29</v>
      </c>
      <c r="G29" s="94" t="s">
        <v>57</v>
      </c>
      <c r="H29" s="94" t="s">
        <v>27</v>
      </c>
      <c r="I29" s="94" t="s">
        <v>25</v>
      </c>
      <c r="J29" s="94" t="s">
        <v>10</v>
      </c>
      <c r="K29" s="94" t="s">
        <v>24</v>
      </c>
      <c r="L29" s="95"/>
      <c r="M29" s="94" t="s">
        <v>31</v>
      </c>
      <c r="N29" s="93" t="s">
        <v>21</v>
      </c>
      <c r="O29" s="93" t="s">
        <v>22</v>
      </c>
      <c r="P29" s="93" t="s">
        <v>23</v>
      </c>
      <c r="Q29" s="93"/>
    </row>
    <row r="30" spans="1:17" ht="24.95" customHeight="1" x14ac:dyDescent="0.25">
      <c r="B30" s="92" t="str">
        <f>IF(I30="","Hide","Show")</f>
        <v>Show</v>
      </c>
      <c r="C30" s="74" t="s">
        <v>1507</v>
      </c>
      <c r="D30" s="89" t="s">
        <v>764</v>
      </c>
      <c r="E30" s="89" t="s">
        <v>765</v>
      </c>
      <c r="F30" s="89" t="s">
        <v>766</v>
      </c>
      <c r="G30" s="91" t="s">
        <v>1495</v>
      </c>
      <c r="H30" s="90" t="s">
        <v>767</v>
      </c>
      <c r="I30" s="89">
        <v>20</v>
      </c>
      <c r="J30" s="89" t="s">
        <v>286</v>
      </c>
      <c r="K30" s="88"/>
      <c r="L30" s="87"/>
      <c r="M30" s="87"/>
      <c r="N30" s="85" t="s">
        <v>179</v>
      </c>
      <c r="O30" s="85">
        <v>90</v>
      </c>
      <c r="P30" s="85" t="s">
        <v>45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ref="B31:B33" si="3">IF(I31="","Hide","Show")</f>
        <v>Show</v>
      </c>
      <c r="C31" s="74" t="str">
        <f>"""Ceres NTFB Live"",""NTFB Live"",""5767"",""1"",""Invt. Pick"",""2"",""ITPN-207505"",""3"",""40000"""</f>
        <v>"Ceres NTFB Live","NTFB Live","5767","1","Invt. Pick","2","ITPN-207505","3","40000"</v>
      </c>
      <c r="D31" s="89" t="s">
        <v>1496</v>
      </c>
      <c r="E31" s="89" t="s">
        <v>1497</v>
      </c>
      <c r="F31" s="89" t="s">
        <v>1498</v>
      </c>
      <c r="G31" s="91" t="s">
        <v>1499</v>
      </c>
      <c r="H31" s="90" t="s">
        <v>1500</v>
      </c>
      <c r="I31" s="89">
        <v>1</v>
      </c>
      <c r="J31" s="89" t="s">
        <v>286</v>
      </c>
      <c r="K31" s="88"/>
      <c r="L31" s="87"/>
      <c r="M31" s="87"/>
      <c r="N31" s="85" t="s">
        <v>179</v>
      </c>
      <c r="O31" s="85">
        <v>27</v>
      </c>
      <c r="P31" s="85" t="s">
        <v>45</v>
      </c>
      <c r="Q31" s="86" t="s">
        <v>56</v>
      </c>
    </row>
    <row r="32" spans="1:17" ht="24.95" customHeight="1" x14ac:dyDescent="0.25">
      <c r="A32" s="74" t="s">
        <v>174</v>
      </c>
      <c r="B32" s="92" t="str">
        <f t="shared" si="3"/>
        <v>Show</v>
      </c>
      <c r="C32" s="74" t="str">
        <f>"""Ceres NTFB Live"",""NTFB Live"",""5767"",""1"",""Invt. Pick"",""2"",""ITPN-207427"",""3"",""51000"""</f>
        <v>"Ceres NTFB Live","NTFB Live","5767","1","Invt. Pick","2","ITPN-207427","3","51000"</v>
      </c>
      <c r="D32" s="89" t="s">
        <v>1501</v>
      </c>
      <c r="E32" s="89" t="s">
        <v>1502</v>
      </c>
      <c r="F32" s="89" t="s">
        <v>769</v>
      </c>
      <c r="G32" s="91" t="s">
        <v>1495</v>
      </c>
      <c r="H32" s="90" t="s">
        <v>770</v>
      </c>
      <c r="I32" s="89">
        <v>20</v>
      </c>
      <c r="J32" s="89" t="s">
        <v>286</v>
      </c>
      <c r="K32" s="88"/>
      <c r="L32" s="87"/>
      <c r="M32" s="87"/>
      <c r="N32" s="85" t="s">
        <v>179</v>
      </c>
      <c r="O32" s="85">
        <v>120</v>
      </c>
      <c r="P32" s="85" t="s">
        <v>45</v>
      </c>
      <c r="Q32" s="86" t="s">
        <v>56</v>
      </c>
    </row>
    <row r="33" spans="1:17" ht="24.95" customHeight="1" x14ac:dyDescent="0.25">
      <c r="A33" s="74" t="s">
        <v>174</v>
      </c>
      <c r="B33" s="92" t="str">
        <f t="shared" si="3"/>
        <v>Show</v>
      </c>
      <c r="C33" s="74" t="str">
        <f>"""Ceres NTFB Live"",""NTFB Live"",""5767"",""1"",""Invt. Pick"",""2"",""ITPN-207505"",""3"",""20000"""</f>
        <v>"Ceres NTFB Live","NTFB Live","5767","1","Invt. Pick","2","ITPN-207505","3","20000"</v>
      </c>
      <c r="D33" s="89" t="s">
        <v>1503</v>
      </c>
      <c r="E33" s="89" t="s">
        <v>1504</v>
      </c>
      <c r="F33" s="89" t="s">
        <v>1505</v>
      </c>
      <c r="G33" s="91" t="s">
        <v>1499</v>
      </c>
      <c r="H33" s="90" t="s">
        <v>1506</v>
      </c>
      <c r="I33" s="89">
        <v>20</v>
      </c>
      <c r="J33" s="89" t="s">
        <v>286</v>
      </c>
      <c r="K33" s="88"/>
      <c r="L33" s="87"/>
      <c r="M33" s="87"/>
      <c r="N33" s="85" t="s">
        <v>179</v>
      </c>
      <c r="O33" s="85">
        <v>720</v>
      </c>
      <c r="P33" s="85" t="s">
        <v>45</v>
      </c>
      <c r="Q33" s="86" t="s">
        <v>56</v>
      </c>
    </row>
    <row r="34" spans="1:17" ht="15.75" thickBot="1" x14ac:dyDescent="0.3">
      <c r="B34" s="74" t="str">
        <f>B30</f>
        <v>Show</v>
      </c>
      <c r="H34" s="85"/>
      <c r="I34" s="85"/>
    </row>
    <row r="35" spans="1:17" ht="15.75" thickBot="1" x14ac:dyDescent="0.3">
      <c r="B35" s="74" t="str">
        <f>+B34</f>
        <v>Show</v>
      </c>
      <c r="D35" s="193" t="str">
        <f>+"END OF "&amp;D2</f>
        <v>END OF WHITE ROCK CENTER HOPE/SEDEA  (002341P) - FRZ PICK LIST</v>
      </c>
      <c r="E35" s="194"/>
      <c r="F35" s="194"/>
      <c r="G35" s="194"/>
      <c r="H35" s="194"/>
      <c r="I35" s="194"/>
      <c r="J35" s="194"/>
      <c r="K35" s="194"/>
      <c r="L35" s="194"/>
      <c r="M35" s="195"/>
    </row>
    <row r="36" spans="1:17" ht="15.75" thickBot="1" x14ac:dyDescent="0.3"/>
    <row r="37" spans="1:17" ht="80.099999999999994" customHeight="1" thickBot="1" x14ac:dyDescent="0.3">
      <c r="A37" s="76" t="s">
        <v>30</v>
      </c>
      <c r="D37" s="166" t="str">
        <f>+F6</f>
        <v>PICKUP</v>
      </c>
      <c r="E37" s="167"/>
      <c r="F37" s="167"/>
      <c r="G37" s="167"/>
      <c r="H37" s="167"/>
      <c r="I37" s="167"/>
      <c r="J37" s="167"/>
      <c r="K37" s="167"/>
      <c r="L37" s="167"/>
      <c r="M37" s="168"/>
    </row>
    <row r="38" spans="1:17" ht="36.75" x14ac:dyDescent="0.45">
      <c r="A38" s="76" t="s">
        <v>30</v>
      </c>
      <c r="D38" s="176" t="s">
        <v>12</v>
      </c>
      <c r="E38" s="177"/>
      <c r="F38" s="196" t="str">
        <f>+F4</f>
        <v>002341P</v>
      </c>
      <c r="G38" s="196"/>
      <c r="H38" s="196"/>
      <c r="I38" s="196"/>
      <c r="J38" s="196"/>
      <c r="K38" s="196"/>
      <c r="L38" s="196"/>
      <c r="M38" s="197"/>
    </row>
    <row r="39" spans="1:17" ht="37.5" customHeight="1" thickBot="1" x14ac:dyDescent="0.5">
      <c r="A39" s="76" t="s">
        <v>30</v>
      </c>
      <c r="D39" s="158" t="s">
        <v>5</v>
      </c>
      <c r="E39" s="159"/>
      <c r="F39" s="161" t="str">
        <f>+F5</f>
        <v>WHITE ROCK CENTER HOPE/SEDEA</v>
      </c>
      <c r="G39" s="161"/>
      <c r="H39" s="161"/>
      <c r="I39" s="161"/>
      <c r="J39" s="161"/>
      <c r="K39" s="161"/>
      <c r="L39" s="161"/>
      <c r="M39" s="162"/>
      <c r="N39" s="84"/>
      <c r="O39" s="84"/>
      <c r="P39" s="84"/>
    </row>
    <row r="40" spans="1:17" ht="33.75" hidden="1" thickBot="1" x14ac:dyDescent="0.45">
      <c r="A40" s="76" t="s">
        <v>19</v>
      </c>
      <c r="D40" s="172" t="s">
        <v>49</v>
      </c>
      <c r="E40" s="173"/>
      <c r="F40" s="82"/>
      <c r="G40" s="83"/>
      <c r="H40" s="82"/>
      <c r="I40" s="82"/>
      <c r="J40" s="82"/>
      <c r="K40" s="82"/>
      <c r="L40" s="82"/>
      <c r="M40" s="81"/>
    </row>
    <row r="41" spans="1:17" ht="30" hidden="1" customHeight="1" x14ac:dyDescent="0.25">
      <c r="A41" s="76" t="s">
        <v>19</v>
      </c>
      <c r="D41" s="80"/>
      <c r="E41" s="78"/>
      <c r="F41" s="174" t="s">
        <v>1270</v>
      </c>
      <c r="G41" s="174"/>
      <c r="H41" s="174"/>
      <c r="I41" s="174"/>
      <c r="J41" s="174"/>
      <c r="K41" s="174"/>
      <c r="L41" s="174"/>
      <c r="M41" s="175"/>
    </row>
    <row r="42" spans="1:17" ht="30" hidden="1" customHeight="1" x14ac:dyDescent="0.25">
      <c r="A42" s="76" t="s">
        <v>184</v>
      </c>
      <c r="D42" s="80"/>
      <c r="E42" s="78"/>
      <c r="F42" s="174" t="str">
        <f>"A108003"</f>
        <v>A108003</v>
      </c>
      <c r="G42" s="174"/>
      <c r="H42" s="174"/>
      <c r="I42" s="174"/>
      <c r="J42" s="174"/>
      <c r="K42" s="174"/>
      <c r="L42" s="174"/>
      <c r="M42" s="175"/>
    </row>
    <row r="43" spans="1:17" ht="30" hidden="1" customHeight="1" x14ac:dyDescent="0.25">
      <c r="A43" s="76" t="s">
        <v>184</v>
      </c>
      <c r="D43" s="80"/>
      <c r="E43" s="78"/>
      <c r="F43" s="174" t="str">
        <f>"A108192"</f>
        <v>A108192</v>
      </c>
      <c r="G43" s="174"/>
      <c r="H43" s="174"/>
      <c r="I43" s="174"/>
      <c r="J43" s="174"/>
      <c r="K43" s="174"/>
      <c r="L43" s="174"/>
      <c r="M43" s="175"/>
    </row>
    <row r="44" spans="1:17" ht="30" hidden="1" customHeight="1" x14ac:dyDescent="0.25">
      <c r="A44" s="76" t="s">
        <v>184</v>
      </c>
      <c r="D44" s="80"/>
      <c r="E44" s="78"/>
      <c r="F44" s="174" t="str">
        <f>"A108400"</f>
        <v>A108400</v>
      </c>
      <c r="G44" s="174"/>
      <c r="H44" s="174"/>
      <c r="I44" s="174"/>
      <c r="J44" s="174"/>
      <c r="K44" s="174"/>
      <c r="L44" s="174"/>
      <c r="M44" s="175"/>
    </row>
    <row r="45" spans="1:17" ht="30" hidden="1" customHeight="1" x14ac:dyDescent="0.25">
      <c r="A45" s="76" t="s">
        <v>184</v>
      </c>
      <c r="D45" s="80"/>
      <c r="E45" s="78"/>
      <c r="F45" s="174" t="str">
        <f>"A108471"</f>
        <v>A108471</v>
      </c>
      <c r="G45" s="174"/>
      <c r="H45" s="174"/>
      <c r="I45" s="174"/>
      <c r="J45" s="174"/>
      <c r="K45" s="174"/>
      <c r="L45" s="174"/>
      <c r="M45" s="175"/>
    </row>
    <row r="46" spans="1:17" ht="15.75" hidden="1" customHeight="1" thickBot="1" x14ac:dyDescent="0.3">
      <c r="A46" s="76" t="s">
        <v>19</v>
      </c>
      <c r="D46" s="80"/>
      <c r="E46" s="78"/>
      <c r="F46" s="78"/>
      <c r="G46" s="79"/>
      <c r="H46" s="78"/>
      <c r="I46" s="78"/>
      <c r="J46" s="78"/>
      <c r="K46" s="78"/>
      <c r="L46" s="78"/>
      <c r="M46" s="77"/>
    </row>
    <row r="47" spans="1:17" ht="36.75" x14ac:dyDescent="0.45">
      <c r="A47" s="76" t="s">
        <v>30</v>
      </c>
      <c r="D47" s="176" t="s">
        <v>50</v>
      </c>
      <c r="E47" s="177"/>
      <c r="F47" s="178">
        <f>+F7</f>
        <v>42612</v>
      </c>
      <c r="G47" s="179"/>
      <c r="H47" s="179"/>
      <c r="I47" s="179"/>
      <c r="J47" s="179"/>
      <c r="K47" s="179"/>
      <c r="L47" s="179"/>
      <c r="M47" s="180"/>
    </row>
    <row r="48" spans="1:17" ht="37.5" thickBot="1" x14ac:dyDescent="0.5">
      <c r="A48" s="76" t="s">
        <v>30</v>
      </c>
      <c r="D48" s="158" t="s">
        <v>32</v>
      </c>
      <c r="E48" s="159"/>
      <c r="F48" s="160"/>
      <c r="G48" s="161"/>
      <c r="H48" s="161"/>
      <c r="I48" s="161"/>
      <c r="J48" s="161"/>
      <c r="K48" s="161"/>
      <c r="L48" s="161"/>
      <c r="M48" s="162"/>
    </row>
    <row r="49" spans="1:13" ht="80.099999999999994" customHeight="1" thickBot="1" x14ac:dyDescent="0.3">
      <c r="A49" s="76" t="s">
        <v>30</v>
      </c>
      <c r="D49" s="163" t="s">
        <v>51</v>
      </c>
      <c r="E49" s="164"/>
      <c r="F49" s="164"/>
      <c r="G49" s="164"/>
      <c r="H49" s="164"/>
      <c r="I49" s="164"/>
      <c r="J49" s="164"/>
      <c r="K49" s="164"/>
      <c r="L49" s="164"/>
      <c r="M49" s="165"/>
    </row>
    <row r="50" spans="1:13" ht="90" customHeight="1" thickBot="1" x14ac:dyDescent="0.3">
      <c r="A50" s="76" t="s">
        <v>30</v>
      </c>
      <c r="D50" s="166" t="str">
        <f>IF(F6="DELIVER",G6,F6)</f>
        <v>PICKUP</v>
      </c>
      <c r="E50" s="167"/>
      <c r="F50" s="167"/>
      <c r="G50" s="167"/>
      <c r="H50" s="167"/>
      <c r="I50" s="167"/>
      <c r="J50" s="167"/>
      <c r="K50" s="167"/>
      <c r="L50" s="167"/>
      <c r="M50" s="168"/>
    </row>
    <row r="51" spans="1:13" ht="60" customHeight="1" thickBot="1" x14ac:dyDescent="0.3">
      <c r="A51" s="76" t="s">
        <v>30</v>
      </c>
      <c r="D51" s="169" t="s">
        <v>55</v>
      </c>
      <c r="E51" s="170"/>
      <c r="F51" s="170"/>
      <c r="G51" s="170"/>
      <c r="H51" s="170"/>
      <c r="I51" s="170"/>
      <c r="J51" s="170"/>
      <c r="K51" s="170"/>
      <c r="L51" s="170"/>
      <c r="M51" s="171"/>
    </row>
  </sheetData>
  <mergeCells count="21">
    <mergeCell ref="D47:E47"/>
    <mergeCell ref="F47:M47"/>
    <mergeCell ref="D2:M2"/>
    <mergeCell ref="F21:M23"/>
    <mergeCell ref="D35:M35"/>
    <mergeCell ref="D37:M37"/>
    <mergeCell ref="D38:E38"/>
    <mergeCell ref="F38:M38"/>
    <mergeCell ref="F42:M42"/>
    <mergeCell ref="F43:M43"/>
    <mergeCell ref="F44:M44"/>
    <mergeCell ref="F45:M45"/>
    <mergeCell ref="D39:E39"/>
    <mergeCell ref="F39:M39"/>
    <mergeCell ref="D40:E40"/>
    <mergeCell ref="F41:M41"/>
    <mergeCell ref="D48:E48"/>
    <mergeCell ref="F48:M48"/>
    <mergeCell ref="D49:M49"/>
    <mergeCell ref="D50:M50"/>
    <mergeCell ref="D51:M51"/>
  </mergeCells>
  <conditionalFormatting sqref="F6">
    <cfRule type="cellIs" dxfId="209" priority="5" operator="equal">
      <formula>"DELIVER"</formula>
    </cfRule>
  </conditionalFormatting>
  <conditionalFormatting sqref="D37">
    <cfRule type="cellIs" dxfId="208" priority="4" operator="equal">
      <formula>"DELIVER"</formula>
    </cfRule>
  </conditionalFormatting>
  <conditionalFormatting sqref="D2:M2">
    <cfRule type="expression" dxfId="207" priority="3">
      <formula>$F$6="DELIVER"</formula>
    </cfRule>
  </conditionalFormatting>
  <conditionalFormatting sqref="G6">
    <cfRule type="expression" dxfId="206" priority="2">
      <formula>$F$6="DELIVER"</formula>
    </cfRule>
  </conditionalFormatting>
  <conditionalFormatting sqref="D50">
    <cfRule type="expression" dxfId="20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5" max="16383" man="1"/>
  </rowBreaks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6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1700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NAVARRO COUNTY FOOD PANTRY  (002491P) - FRZ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"002491P"</f>
        <v>002491P</v>
      </c>
      <c r="E4" s="101" t="s">
        <v>37</v>
      </c>
      <c r="F4" s="105" t="str">
        <f>C4</f>
        <v>002491P</v>
      </c>
      <c r="K4" s="101" t="s">
        <v>42</v>
      </c>
      <c r="L4" s="104"/>
      <c r="M4" s="111">
        <f>SUM(I25:I33)</f>
        <v>66</v>
      </c>
    </row>
    <row r="5" spans="1:26" ht="18" customHeight="1" x14ac:dyDescent="0.25">
      <c r="B5" s="76" t="str">
        <f t="shared" si="0"/>
        <v>Show</v>
      </c>
      <c r="C5" s="109" t="s">
        <v>1296</v>
      </c>
      <c r="E5" s="101" t="s">
        <v>36</v>
      </c>
      <c r="F5" s="112" t="s">
        <v>730</v>
      </c>
      <c r="K5" s="101" t="s">
        <v>43</v>
      </c>
      <c r="L5" s="104"/>
      <c r="M5" s="111">
        <f>ROUND(SUM(O25:O33),0)</f>
        <v>1534</v>
      </c>
    </row>
    <row r="6" spans="1:26" ht="18" customHeight="1" x14ac:dyDescent="0.25">
      <c r="B6" s="76" t="str">
        <f t="shared" si="0"/>
        <v>Show</v>
      </c>
      <c r="C6" s="109" t="s">
        <v>1297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ROUND(COUNT(O25:O33),0)</f>
        <v>8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A108478|A108478|A108478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ITPN-207507|ITPN-207508|ITPN-207507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1298</v>
      </c>
      <c r="E12" s="74" t="s">
        <v>1277</v>
      </c>
      <c r="F12" s="74" t="s">
        <v>1291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Pick"",""2"",""ITPN-207508"""</f>
        <v>"Ceres NTFB Live","NTFB Live","5766","1","Invt. Pick","2","ITPN-207508"</v>
      </c>
      <c r="E13" s="74" t="s">
        <v>1277</v>
      </c>
      <c r="F13" s="74" t="s">
        <v>1292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1277</v>
      </c>
      <c r="E14" s="74" t="str">
        <f>E12</f>
        <v>A108478</v>
      </c>
      <c r="F14" s="74" t="str">
        <f>F12</f>
        <v>ITPN-207507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1293</v>
      </c>
      <c r="F15" s="92" t="s">
        <v>1294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1295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117" t="s">
        <v>45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1509</v>
      </c>
      <c r="D25" s="89" t="str">
        <f>"52-03-01"</f>
        <v>52-03-01</v>
      </c>
      <c r="E25" s="89" t="str">
        <f>"P00185290"</f>
        <v>P00185290</v>
      </c>
      <c r="F25" s="89" t="str">
        <f>"1000002727"</f>
        <v>1000002727</v>
      </c>
      <c r="G25" s="91" t="s">
        <v>1508</v>
      </c>
      <c r="H25" s="90" t="str">
        <f>"BEEF, GROUND, FROZEN - CO-OP"</f>
        <v>BEEF, GROUND, FROZEN - CO-OP</v>
      </c>
      <c r="I25" s="89">
        <v>2</v>
      </c>
      <c r="J25" s="89" t="str">
        <f t="shared" ref="J25:J32" si="2">"CS"</f>
        <v>CS</v>
      </c>
      <c r="K25" s="88"/>
      <c r="L25" s="87"/>
      <c r="M25" s="87"/>
      <c r="N25" s="85" t="s">
        <v>179</v>
      </c>
      <c r="O25" s="85">
        <v>54</v>
      </c>
      <c r="P25" s="85" t="str">
        <f t="shared" ref="P25:P32" si="3">"FRZ"</f>
        <v>FRZ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32" si="4">IF(I26="","Hide","Show")</f>
        <v>Show</v>
      </c>
      <c r="C26" s="74" t="str">
        <f>"""Ceres NTFB Live"",""NTFB Live"",""5767"",""1"",""Invt. Pick"",""2"",""ITPN-207507"",""3"",""150000"""</f>
        <v>"Ceres NTFB Live","NTFB Live","5767","1","Invt. Pick","2","ITPN-207507","3","150000"</v>
      </c>
      <c r="D26" s="89" t="str">
        <f>"52-15-01"</f>
        <v>52-15-01</v>
      </c>
      <c r="E26" s="89" t="str">
        <f>"P00188562"</f>
        <v>P00188562</v>
      </c>
      <c r="F26" s="89" t="str">
        <f>"1000003556"</f>
        <v>1000003556</v>
      </c>
      <c r="G26" s="91" t="s">
        <v>1508</v>
      </c>
      <c r="H26" s="90" t="str">
        <f>"CHICKEN FRITTERS, HOT AND SPICY, ASSORTED, FRZ"</f>
        <v>CHICKEN FRITTERS, HOT AND SPICY, ASSORTED, FRZ</v>
      </c>
      <c r="I26" s="89">
        <v>2</v>
      </c>
      <c r="J26" s="89" t="str">
        <f t="shared" si="2"/>
        <v>CS</v>
      </c>
      <c r="K26" s="88"/>
      <c r="L26" s="87"/>
      <c r="M26" s="87"/>
      <c r="N26" s="85" t="s">
        <v>179</v>
      </c>
      <c r="O26" s="85">
        <v>40</v>
      </c>
      <c r="P26" s="85" t="str">
        <f t="shared" si="3"/>
        <v>FRZ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4"/>
        <v>Show</v>
      </c>
      <c r="C27" s="74" t="str">
        <f>"""Ceres NTFB Live"",""NTFB Live"",""5767"",""1"",""Invt. Pick"",""2"",""ITPN-207507"",""3"",""60000"""</f>
        <v>"Ceres NTFB Live","NTFB Live","5767","1","Invt. Pick","2","ITPN-207507","3","60000"</v>
      </c>
      <c r="D27" s="89" t="str">
        <f>"53-01-01"</f>
        <v>53-01-01</v>
      </c>
      <c r="E27" s="89" t="str">
        <f>"P00193287"</f>
        <v>P00193287</v>
      </c>
      <c r="F27" s="89" t="str">
        <f>"1000003399"</f>
        <v>1000003399</v>
      </c>
      <c r="G27" s="91" t="s">
        <v>1508</v>
      </c>
      <c r="H27" s="90" t="str">
        <f>"BURRITO, BREAKFAST, DON MIGUEL"</f>
        <v>BURRITO, BREAKFAST, DON MIGUEL</v>
      </c>
      <c r="I27" s="89">
        <v>14</v>
      </c>
      <c r="J27" s="89" t="str">
        <f t="shared" si="2"/>
        <v>CS</v>
      </c>
      <c r="K27" s="88"/>
      <c r="L27" s="87"/>
      <c r="M27" s="87"/>
      <c r="N27" s="85" t="s">
        <v>179</v>
      </c>
      <c r="O27" s="85">
        <v>84</v>
      </c>
      <c r="P27" s="85" t="str">
        <f t="shared" si="3"/>
        <v>FRZ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4"/>
        <v>Show</v>
      </c>
      <c r="C28" s="74" t="str">
        <f>"""Ceres NTFB Live"",""NTFB Live"",""5767"",""1"",""Invt. Pick"",""2"",""ITPN-207507"",""3"",""90000"""</f>
        <v>"Ceres NTFB Live","NTFB Live","5767","1","Invt. Pick","2","ITPN-207507","3","90000"</v>
      </c>
      <c r="D28" s="89" t="str">
        <f>"53-05-01"</f>
        <v>53-05-01</v>
      </c>
      <c r="E28" s="89" t="str">
        <f>"P00193385"</f>
        <v>P00193385</v>
      </c>
      <c r="F28" s="89" t="str">
        <f>"1000002727"</f>
        <v>1000002727</v>
      </c>
      <c r="G28" s="91" t="s">
        <v>1508</v>
      </c>
      <c r="H28" s="90" t="str">
        <f>"BEEF, GROUND, FROZEN - CO-OP"</f>
        <v>BEEF, GROUND, FROZEN - CO-OP</v>
      </c>
      <c r="I28" s="89">
        <v>18</v>
      </c>
      <c r="J28" s="89" t="str">
        <f t="shared" si="2"/>
        <v>CS</v>
      </c>
      <c r="K28" s="88"/>
      <c r="L28" s="87"/>
      <c r="M28" s="87"/>
      <c r="N28" s="85" t="s">
        <v>179</v>
      </c>
      <c r="O28" s="85">
        <v>486</v>
      </c>
      <c r="P28" s="85" t="str">
        <f t="shared" si="3"/>
        <v>FRZ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si="4"/>
        <v>Show</v>
      </c>
      <c r="C29" s="74" t="str">
        <f>"""Ceres NTFB Live"",""NTFB Live"",""5767"",""1"",""Invt. Pick"",""2"",""ITPN-207507"",""3"",""130000"""</f>
        <v>"Ceres NTFB Live","NTFB Live","5767","1","Invt. Pick","2","ITPN-207507","3","130000"</v>
      </c>
      <c r="D29" s="89" t="str">
        <f>"53-14-01"</f>
        <v>53-14-01</v>
      </c>
      <c r="E29" s="89" t="str">
        <f>"P00194005"</f>
        <v>P00194005</v>
      </c>
      <c r="F29" s="89" t="str">
        <f>"1000003668"</f>
        <v>1000003668</v>
      </c>
      <c r="G29" s="91" t="s">
        <v>1508</v>
      </c>
      <c r="H29" s="90" t="str">
        <f>"CHICKEN, BREAST, THIN SLICED, SKINLESS , FROZEN"</f>
        <v>CHICKEN, BREAST, THIN SLICED, SKINLESS , FROZEN</v>
      </c>
      <c r="I29" s="89">
        <v>5</v>
      </c>
      <c r="J29" s="89" t="str">
        <f t="shared" si="2"/>
        <v>CS</v>
      </c>
      <c r="K29" s="88"/>
      <c r="L29" s="87"/>
      <c r="M29" s="87"/>
      <c r="N29" s="85" t="s">
        <v>179</v>
      </c>
      <c r="O29" s="85">
        <v>70</v>
      </c>
      <c r="P29" s="85" t="str">
        <f t="shared" si="3"/>
        <v>FRZ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4"/>
        <v>Show</v>
      </c>
      <c r="C30" s="74" t="str">
        <f>"""Ceres NTFB Live"",""NTFB Live"",""5767"",""1"",""Invt. Pick"",""2"",""ITPN-207507"",""3"",""110000"""</f>
        <v>"Ceres NTFB Live","NTFB Live","5767","1","Invt. Pick","2","ITPN-207507","3","110000"</v>
      </c>
      <c r="D30" s="89" t="str">
        <f>"53-17-01"</f>
        <v>53-17-01</v>
      </c>
      <c r="E30" s="89" t="str">
        <f>"P00194006"</f>
        <v>P00194006</v>
      </c>
      <c r="F30" s="89" t="str">
        <f>"1000003669"</f>
        <v>1000003669</v>
      </c>
      <c r="G30" s="91" t="s">
        <v>1508</v>
      </c>
      <c r="H30" s="90" t="str">
        <f>"CHICKEN, BREAST, BONELESS , FROZEN"</f>
        <v>CHICKEN, BREAST, BONELESS , FROZEN</v>
      </c>
      <c r="I30" s="89">
        <v>5</v>
      </c>
      <c r="J30" s="89" t="str">
        <f t="shared" si="2"/>
        <v>CS</v>
      </c>
      <c r="K30" s="88"/>
      <c r="L30" s="87"/>
      <c r="M30" s="87"/>
      <c r="N30" s="85" t="s">
        <v>179</v>
      </c>
      <c r="O30" s="85">
        <v>250</v>
      </c>
      <c r="P30" s="85" t="str">
        <f t="shared" si="3"/>
        <v>FRZ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si="4"/>
        <v>Show</v>
      </c>
      <c r="C31" s="74" t="str">
        <f>"""Ceres NTFB Live"",""NTFB Live"",""5767"",""1"",""Invt. Pick"",""2"",""ITPN-207507"",""3"",""40000"""</f>
        <v>"Ceres NTFB Live","NTFB Live","5767","1","Invt. Pick","2","ITPN-207507","3","40000"</v>
      </c>
      <c r="D31" s="89" t="str">
        <f>"53-24-01"</f>
        <v>53-24-01</v>
      </c>
      <c r="E31" s="89" t="str">
        <f>"P00194001"</f>
        <v>P00194001</v>
      </c>
      <c r="F31" s="89" t="str">
        <f>"1000003664"</f>
        <v>1000003664</v>
      </c>
      <c r="G31" s="91" t="s">
        <v>1508</v>
      </c>
      <c r="H31" s="90" t="str">
        <f>"CHICKEN, WHOLE WINGS, FROZEN"</f>
        <v>CHICKEN, WHOLE WINGS, FROZEN</v>
      </c>
      <c r="I31" s="89">
        <v>10</v>
      </c>
      <c r="J31" s="89" t="str">
        <f t="shared" si="2"/>
        <v>CS</v>
      </c>
      <c r="K31" s="88"/>
      <c r="L31" s="87"/>
      <c r="M31" s="87"/>
      <c r="N31" s="85" t="s">
        <v>179</v>
      </c>
      <c r="O31" s="85">
        <v>190</v>
      </c>
      <c r="P31" s="85" t="str">
        <f t="shared" si="3"/>
        <v>FRZ</v>
      </c>
      <c r="Q31" s="86" t="s">
        <v>56</v>
      </c>
    </row>
    <row r="32" spans="1:17" ht="24.95" customHeight="1" x14ac:dyDescent="0.25">
      <c r="A32" s="74" t="s">
        <v>174</v>
      </c>
      <c r="B32" s="92" t="str">
        <f t="shared" si="4"/>
        <v>Show</v>
      </c>
      <c r="C32" s="74" t="str">
        <f>"""Ceres NTFB Live"",""NTFB Live"",""5767"",""1"",""Invt. Pick"",""2"",""ITPN-207507"",""3"",""20000"""</f>
        <v>"Ceres NTFB Live","NTFB Live","5767","1","Invt. Pick","2","ITPN-207507","3","20000"</v>
      </c>
      <c r="D32" s="89" t="str">
        <f>"53-36-01"</f>
        <v>53-36-01</v>
      </c>
      <c r="E32" s="89" t="str">
        <f>"P00195688"</f>
        <v>P00195688</v>
      </c>
      <c r="F32" s="89" t="str">
        <f>"1000001627"</f>
        <v>1000001627</v>
      </c>
      <c r="G32" s="91" t="s">
        <v>1508</v>
      </c>
      <c r="H32" s="90" t="str">
        <f>"USDA HAM, COOKED, FROZEN"</f>
        <v>USDA HAM, COOKED, FROZEN</v>
      </c>
      <c r="I32" s="89">
        <v>10</v>
      </c>
      <c r="J32" s="89" t="str">
        <f t="shared" si="2"/>
        <v>CS</v>
      </c>
      <c r="K32" s="88"/>
      <c r="L32" s="87"/>
      <c r="M32" s="87"/>
      <c r="N32" s="85" t="s">
        <v>179</v>
      </c>
      <c r="O32" s="85">
        <v>360</v>
      </c>
      <c r="P32" s="85" t="str">
        <f t="shared" si="3"/>
        <v>FRZ</v>
      </c>
      <c r="Q32" s="86" t="s">
        <v>56</v>
      </c>
    </row>
    <row r="33" spans="1:16" ht="15.75" thickBot="1" x14ac:dyDescent="0.3">
      <c r="B33" s="74" t="str">
        <f>B25</f>
        <v>Show</v>
      </c>
      <c r="H33" s="85"/>
      <c r="I33" s="85"/>
    </row>
    <row r="34" spans="1:16" ht="15.75" thickBot="1" x14ac:dyDescent="0.3">
      <c r="B34" s="74" t="str">
        <f>+B33</f>
        <v>Show</v>
      </c>
      <c r="D34" s="193" t="str">
        <f>+"END OF "&amp;D2</f>
        <v>END OF NAVARRO COUNTY FOOD PANTRY  (002491P) - FRZ PICK LIST</v>
      </c>
      <c r="E34" s="194"/>
      <c r="F34" s="194"/>
      <c r="G34" s="194"/>
      <c r="H34" s="194"/>
      <c r="I34" s="194"/>
      <c r="J34" s="194"/>
      <c r="K34" s="194"/>
      <c r="L34" s="194"/>
      <c r="M34" s="195"/>
    </row>
    <row r="35" spans="1:16" ht="15.75" thickBot="1" x14ac:dyDescent="0.3"/>
    <row r="36" spans="1:16" ht="80.099999999999994" customHeight="1" thickBot="1" x14ac:dyDescent="0.3">
      <c r="A36" s="76" t="s">
        <v>30</v>
      </c>
      <c r="D36" s="166" t="str">
        <f>+F6</f>
        <v>PICKUP</v>
      </c>
      <c r="E36" s="167"/>
      <c r="F36" s="167"/>
      <c r="G36" s="167"/>
      <c r="H36" s="167"/>
      <c r="I36" s="167"/>
      <c r="J36" s="167"/>
      <c r="K36" s="167"/>
      <c r="L36" s="167"/>
      <c r="M36" s="168"/>
    </row>
    <row r="37" spans="1:16" ht="36.75" x14ac:dyDescent="0.45">
      <c r="A37" s="76" t="s">
        <v>30</v>
      </c>
      <c r="D37" s="176" t="s">
        <v>12</v>
      </c>
      <c r="E37" s="177"/>
      <c r="F37" s="196" t="str">
        <f>+F4</f>
        <v>002491P</v>
      </c>
      <c r="G37" s="196"/>
      <c r="H37" s="196"/>
      <c r="I37" s="196"/>
      <c r="J37" s="196"/>
      <c r="K37" s="196"/>
      <c r="L37" s="196"/>
      <c r="M37" s="197"/>
    </row>
    <row r="38" spans="1:16" ht="37.5" customHeight="1" thickBot="1" x14ac:dyDescent="0.5">
      <c r="A38" s="76" t="s">
        <v>30</v>
      </c>
      <c r="D38" s="158" t="s">
        <v>5</v>
      </c>
      <c r="E38" s="159"/>
      <c r="F38" s="161" t="str">
        <f>+F5</f>
        <v>NAVARRO COUNTY FOOD PANTRY</v>
      </c>
      <c r="G38" s="161"/>
      <c r="H38" s="161"/>
      <c r="I38" s="161"/>
      <c r="J38" s="161"/>
      <c r="K38" s="161"/>
      <c r="L38" s="161"/>
      <c r="M38" s="162"/>
      <c r="N38" s="84"/>
      <c r="O38" s="84"/>
      <c r="P38" s="84"/>
    </row>
    <row r="39" spans="1:16" ht="33.75" hidden="1" thickBot="1" x14ac:dyDescent="0.45">
      <c r="A39" s="76" t="s">
        <v>19</v>
      </c>
      <c r="D39" s="172" t="s">
        <v>49</v>
      </c>
      <c r="E39" s="173"/>
      <c r="F39" s="82"/>
      <c r="G39" s="83"/>
      <c r="H39" s="82"/>
      <c r="I39" s="82"/>
      <c r="J39" s="82"/>
      <c r="K39" s="82"/>
      <c r="L39" s="82"/>
      <c r="M39" s="81"/>
    </row>
    <row r="40" spans="1:16" ht="30" hidden="1" customHeight="1" x14ac:dyDescent="0.25">
      <c r="A40" s="76" t="s">
        <v>19</v>
      </c>
      <c r="D40" s="80"/>
      <c r="E40" s="78"/>
      <c r="F40" s="174" t="s">
        <v>1277</v>
      </c>
      <c r="G40" s="174"/>
      <c r="H40" s="174"/>
      <c r="I40" s="174"/>
      <c r="J40" s="174"/>
      <c r="K40" s="174"/>
      <c r="L40" s="174"/>
      <c r="M40" s="175"/>
    </row>
    <row r="41" spans="1:16" ht="15.75" hidden="1" customHeight="1" thickBot="1" x14ac:dyDescent="0.3">
      <c r="A41" s="76" t="s">
        <v>19</v>
      </c>
      <c r="D41" s="80"/>
      <c r="E41" s="78"/>
      <c r="F41" s="78"/>
      <c r="G41" s="79"/>
      <c r="H41" s="78"/>
      <c r="I41" s="78"/>
      <c r="J41" s="78"/>
      <c r="K41" s="78"/>
      <c r="L41" s="78"/>
      <c r="M41" s="77"/>
    </row>
    <row r="42" spans="1:16" ht="36.75" x14ac:dyDescent="0.45">
      <c r="A42" s="76" t="s">
        <v>30</v>
      </c>
      <c r="D42" s="176" t="s">
        <v>50</v>
      </c>
      <c r="E42" s="177"/>
      <c r="F42" s="178">
        <f>+F7</f>
        <v>42612</v>
      </c>
      <c r="G42" s="179"/>
      <c r="H42" s="179"/>
      <c r="I42" s="179"/>
      <c r="J42" s="179"/>
      <c r="K42" s="179"/>
      <c r="L42" s="179"/>
      <c r="M42" s="180"/>
    </row>
    <row r="43" spans="1:16" ht="37.5" thickBot="1" x14ac:dyDescent="0.5">
      <c r="A43" s="76" t="s">
        <v>30</v>
      </c>
      <c r="D43" s="158" t="s">
        <v>32</v>
      </c>
      <c r="E43" s="159"/>
      <c r="F43" s="160"/>
      <c r="G43" s="161"/>
      <c r="H43" s="161"/>
      <c r="I43" s="161"/>
      <c r="J43" s="161"/>
      <c r="K43" s="161"/>
      <c r="L43" s="161"/>
      <c r="M43" s="162"/>
    </row>
    <row r="44" spans="1:16" ht="80.099999999999994" customHeight="1" thickBot="1" x14ac:dyDescent="0.3">
      <c r="A44" s="76" t="s">
        <v>30</v>
      </c>
      <c r="D44" s="163" t="s">
        <v>51</v>
      </c>
      <c r="E44" s="164"/>
      <c r="F44" s="164"/>
      <c r="G44" s="164"/>
      <c r="H44" s="164"/>
      <c r="I44" s="164"/>
      <c r="J44" s="164"/>
      <c r="K44" s="164"/>
      <c r="L44" s="164"/>
      <c r="M44" s="165"/>
    </row>
    <row r="45" spans="1:16" ht="90" customHeight="1" thickBot="1" x14ac:dyDescent="0.3">
      <c r="A45" s="76" t="s">
        <v>30</v>
      </c>
      <c r="D45" s="166" t="str">
        <f>IF(F6="DELIVER",G6,F6)</f>
        <v>PICKUP</v>
      </c>
      <c r="E45" s="167"/>
      <c r="F45" s="167"/>
      <c r="G45" s="167"/>
      <c r="H45" s="167"/>
      <c r="I45" s="167"/>
      <c r="J45" s="167"/>
      <c r="K45" s="167"/>
      <c r="L45" s="167"/>
      <c r="M45" s="168"/>
    </row>
    <row r="46" spans="1:16" ht="60" customHeight="1" thickBot="1" x14ac:dyDescent="0.3">
      <c r="A46" s="76" t="s">
        <v>30</v>
      </c>
      <c r="D46" s="169" t="s">
        <v>55</v>
      </c>
      <c r="E46" s="170"/>
      <c r="F46" s="170"/>
      <c r="G46" s="170"/>
      <c r="H46" s="170"/>
      <c r="I46" s="170"/>
      <c r="J46" s="170"/>
      <c r="K46" s="170"/>
      <c r="L46" s="170"/>
      <c r="M46" s="171"/>
    </row>
  </sheetData>
  <mergeCells count="17">
    <mergeCell ref="D2:M2"/>
    <mergeCell ref="F16:M18"/>
    <mergeCell ref="D34:M34"/>
    <mergeCell ref="D36:M36"/>
    <mergeCell ref="D37:E37"/>
    <mergeCell ref="F37:M37"/>
    <mergeCell ref="D38:E38"/>
    <mergeCell ref="F38:M38"/>
    <mergeCell ref="D39:E39"/>
    <mergeCell ref="F40:M40"/>
    <mergeCell ref="D42:E42"/>
    <mergeCell ref="F42:M42"/>
    <mergeCell ref="D43:E43"/>
    <mergeCell ref="F43:M43"/>
    <mergeCell ref="D44:M44"/>
    <mergeCell ref="D45:M45"/>
    <mergeCell ref="D46:M46"/>
  </mergeCells>
  <conditionalFormatting sqref="F6">
    <cfRule type="cellIs" dxfId="204" priority="5" operator="equal">
      <formula>"DELIVER"</formula>
    </cfRule>
  </conditionalFormatting>
  <conditionalFormatting sqref="D36">
    <cfRule type="cellIs" dxfId="203" priority="4" operator="equal">
      <formula>"DELIVER"</formula>
    </cfRule>
  </conditionalFormatting>
  <conditionalFormatting sqref="D2:M2">
    <cfRule type="expression" dxfId="202" priority="3">
      <formula>$F$6="DELIVER"</formula>
    </cfRule>
  </conditionalFormatting>
  <conditionalFormatting sqref="G6">
    <cfRule type="expression" dxfId="201" priority="2">
      <formula>$F$6="DELIVER"</formula>
    </cfRule>
  </conditionalFormatting>
  <conditionalFormatting sqref="D45">
    <cfRule type="expression" dxfId="20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4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1558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/>
      </c>
      <c r="C2" s="74" t="s">
        <v>7</v>
      </c>
      <c r="D2" s="181" t="str">
        <f>IF(E26="",F5&amp;"  ("&amp;F4&amp;") - NO "&amp;C25,F5&amp;"  ("&amp;F4&amp;") - "&amp;C25&amp;" PICK LIST")</f>
        <v>SALVATION ARMY OAK CLIFF  (002052P)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"002052P"</f>
        <v>002052P</v>
      </c>
      <c r="E4" s="101" t="s">
        <v>37</v>
      </c>
      <c r="F4" s="105" t="str">
        <f>C4</f>
        <v>002052P</v>
      </c>
      <c r="K4" s="101" t="s">
        <v>42</v>
      </c>
      <c r="L4" s="104"/>
      <c r="M4" s="111">
        <f>SUM(I26:I32)</f>
        <v>27</v>
      </c>
    </row>
    <row r="5" spans="1:26" ht="18" customHeight="1" x14ac:dyDescent="0.25">
      <c r="B5" s="76" t="str">
        <f t="shared" si="0"/>
        <v>Show</v>
      </c>
      <c r="C5" s="109" t="s">
        <v>1230</v>
      </c>
      <c r="E5" s="101" t="s">
        <v>36</v>
      </c>
      <c r="F5" s="112" t="s">
        <v>1194</v>
      </c>
      <c r="K5" s="101" t="s">
        <v>43</v>
      </c>
      <c r="L5" s="104"/>
      <c r="M5" s="111">
        <f>ROUND(SUM(O26:O32),0)</f>
        <v>698</v>
      </c>
    </row>
    <row r="6" spans="1:26" ht="18" customHeight="1" x14ac:dyDescent="0.25">
      <c r="B6" s="76" t="str">
        <f t="shared" si="0"/>
        <v>Show</v>
      </c>
      <c r="C6" s="109" t="s">
        <v>1231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ROUND(COUNT(O26:O32),0)</f>
        <v>6</v>
      </c>
      <c r="P6" s="101"/>
      <c r="W6" s="101" t="str">
        <f>"ESTIMATED "&amp;O25&amp;"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E16</f>
        <v>A108237|A108237|A108237|A108237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F16</f>
        <v>ITPN-207456|ITPN-207457|ITPN-207460|ITPN-207456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B15</f>
        <v>Show</v>
      </c>
      <c r="C12" s="74" t="s">
        <v>1230</v>
      </c>
      <c r="E12" s="74" t="s">
        <v>1226</v>
      </c>
      <c r="F12" s="74" t="s">
        <v>1227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4" si="1">B16</f>
        <v>Show</v>
      </c>
      <c r="C13" s="74" t="str">
        <f>"""Ceres NTFB Live"",""NTFB Live"",""5766"",""1"",""Invt. Pick"",""2"",""ITPN-207457"""</f>
        <v>"Ceres NTFB Live","NTFB Live","5766","1","Invt. Pick","2","ITPN-207457"</v>
      </c>
      <c r="E13" s="74" t="s">
        <v>1226</v>
      </c>
      <c r="F13" s="74" t="s">
        <v>1228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Pick"",""2"",""ITPN-207460"""</f>
        <v>"Ceres NTFB Live","NTFB Live","5766","1","Invt. Pick","2","ITPN-207460"</v>
      </c>
      <c r="E14" s="74" t="s">
        <v>1226</v>
      </c>
      <c r="F14" s="74" t="s">
        <v>1229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ref="B15:B25" si="2">B16</f>
        <v>Show</v>
      </c>
      <c r="C15" s="74" t="s">
        <v>1226</v>
      </c>
      <c r="E15" s="74" t="str">
        <f>E12</f>
        <v>A108237</v>
      </c>
      <c r="F15" s="74" t="str">
        <f>F12</f>
        <v>ITPN-207456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6</v>
      </c>
      <c r="B16" s="76" t="str">
        <f t="shared" si="2"/>
        <v>Show</v>
      </c>
      <c r="E16" s="92" t="s">
        <v>1801</v>
      </c>
      <c r="F16" s="92" t="s">
        <v>1802</v>
      </c>
      <c r="I16" s="98"/>
      <c r="J16" s="98"/>
      <c r="K16" s="98"/>
      <c r="L16" s="98"/>
      <c r="M16" s="98"/>
    </row>
    <row r="17" spans="1:17" x14ac:dyDescent="0.25">
      <c r="B17" s="76" t="str">
        <f t="shared" si="2"/>
        <v>Show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x14ac:dyDescent="0.25">
      <c r="B18" s="76" t="str">
        <f t="shared" si="2"/>
        <v>Show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thickBot="1" x14ac:dyDescent="0.3">
      <c r="B19" s="76" t="str">
        <f t="shared" si="2"/>
        <v>Show</v>
      </c>
      <c r="F19" s="190"/>
      <c r="G19" s="191"/>
      <c r="H19" s="191"/>
      <c r="I19" s="191"/>
      <c r="J19" s="191"/>
      <c r="K19" s="191"/>
      <c r="L19" s="191"/>
      <c r="M19" s="192"/>
    </row>
    <row r="20" spans="1:17" x14ac:dyDescent="0.25">
      <c r="B20" s="76" t="str">
        <f t="shared" si="2"/>
        <v>Show</v>
      </c>
    </row>
    <row r="21" spans="1:17" x14ac:dyDescent="0.25">
      <c r="B21" s="76" t="str">
        <f t="shared" si="2"/>
        <v>Show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x14ac:dyDescent="0.25">
      <c r="B22" s="76" t="str">
        <f t="shared" si="2"/>
        <v>Show</v>
      </c>
      <c r="E22" s="101"/>
    </row>
    <row r="23" spans="1:17" x14ac:dyDescent="0.25">
      <c r="B23" s="76" t="str">
        <f t="shared" si="2"/>
        <v>Show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x14ac:dyDescent="0.25">
      <c r="B24" s="76" t="str">
        <f t="shared" si="2"/>
        <v>Show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customHeight="1" x14ac:dyDescent="0.25">
      <c r="A25" s="97"/>
      <c r="B25" s="76" t="str">
        <f t="shared" si="2"/>
        <v>Show</v>
      </c>
      <c r="C25" s="96" t="s">
        <v>79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customHeight="1" x14ac:dyDescent="0.25">
      <c r="B26" s="92" t="str">
        <f>IF(I26="","Hide","Show")</f>
        <v>Show</v>
      </c>
      <c r="C26" s="74" t="s">
        <v>1234</v>
      </c>
      <c r="D26" s="89" t="str">
        <f>"02-30-01"</f>
        <v>02-30-01</v>
      </c>
      <c r="E26" s="89" t="str">
        <f>"P00193878"</f>
        <v>P00193878</v>
      </c>
      <c r="F26" s="89" t="str">
        <f>"1000003674"</f>
        <v>1000003674</v>
      </c>
      <c r="G26" s="91" t="s">
        <v>1232</v>
      </c>
      <c r="H26" s="90" t="str">
        <f>"SOUP, SLOW KETTLE BROCCOLI CHEDDAR BISQUE"</f>
        <v>SOUP, SLOW KETTLE BROCCOLI CHEDDAR BISQUE</v>
      </c>
      <c r="I26" s="89">
        <v>5</v>
      </c>
      <c r="J26" s="89" t="str">
        <f t="shared" ref="J26:J31" si="3">"CS"</f>
        <v>CS</v>
      </c>
      <c r="K26" s="88"/>
      <c r="L26" s="87"/>
      <c r="M26" s="87"/>
      <c r="N26" s="85" t="s">
        <v>179</v>
      </c>
      <c r="O26" s="85">
        <v>45</v>
      </c>
      <c r="P26" s="85" t="str">
        <f>"DRY"</f>
        <v>DRY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ref="B27:B31" si="4">IF(I27="","Hide","Show")</f>
        <v>Show</v>
      </c>
      <c r="C27" s="74" t="str">
        <f>"""Ceres NTFB Live"",""NTFB Live"",""5767"",""1"",""Invt. Pick"",""2"",""ITPN-207456"",""3"",""100000"""</f>
        <v>"Ceres NTFB Live","NTFB Live","5767","1","Invt. Pick","2","ITPN-207456","3","100000"</v>
      </c>
      <c r="D27" s="89" t="str">
        <f>"04-04-01"</f>
        <v>04-04-01</v>
      </c>
      <c r="E27" s="89" t="str">
        <f>"P00195090"</f>
        <v>P00195090</v>
      </c>
      <c r="F27" s="89" t="str">
        <f>"1000003163"</f>
        <v>1000003163</v>
      </c>
      <c r="G27" s="91" t="s">
        <v>1232</v>
      </c>
      <c r="H27" s="90" t="str">
        <f>"CEREAL, HONEY BUNCHES OF OATS, ALMONDS"</f>
        <v>CEREAL, HONEY BUNCHES OF OATS, ALMONDS</v>
      </c>
      <c r="I27" s="89">
        <v>1</v>
      </c>
      <c r="J27" s="89" t="str">
        <f t="shared" si="3"/>
        <v>CS</v>
      </c>
      <c r="K27" s="88"/>
      <c r="L27" s="87"/>
      <c r="M27" s="87"/>
      <c r="N27" s="85" t="s">
        <v>179</v>
      </c>
      <c r="O27" s="85">
        <v>3</v>
      </c>
      <c r="P27" s="85" t="str">
        <f>"DRY"</f>
        <v>DRY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4"/>
        <v>Show</v>
      </c>
      <c r="C28" s="74" t="str">
        <f>"""Ceres NTFB Live"",""NTFB Live"",""5767"",""1"",""Invt. Pick"",""2"",""ITPN-207456"",""3"",""60000"""</f>
        <v>"Ceres NTFB Live","NTFB Live","5767","1","Invt. Pick","2","ITPN-207456","3","60000"</v>
      </c>
      <c r="D28" s="89" t="str">
        <f>"04-10-01"</f>
        <v>04-10-01</v>
      </c>
      <c r="E28" s="89" t="str">
        <f>"P00186004"</f>
        <v>P00186004</v>
      </c>
      <c r="F28" s="89" t="str">
        <f>"1000000820"</f>
        <v>1000000820</v>
      </c>
      <c r="G28" s="91" t="s">
        <v>1232</v>
      </c>
      <c r="H28" s="90" t="str">
        <f>"ASSORTED FOOD (DRY) - ASFODNO - 20#"</f>
        <v>ASSORTED FOOD (DRY) - ASFODNO - 20#</v>
      </c>
      <c r="I28" s="89">
        <v>5</v>
      </c>
      <c r="J28" s="89" t="str">
        <f t="shared" si="3"/>
        <v>CS</v>
      </c>
      <c r="K28" s="88"/>
      <c r="L28" s="87"/>
      <c r="M28" s="87"/>
      <c r="N28" s="85" t="s">
        <v>179</v>
      </c>
      <c r="O28" s="85">
        <v>100</v>
      </c>
      <c r="P28" s="85" t="str">
        <f>"DRY"</f>
        <v>DRY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si="4"/>
        <v>Show</v>
      </c>
      <c r="C29" s="74" t="str">
        <f>"""Ceres NTFB Live"",""NTFB Live"",""5767"",""1"",""Invt. Pick"",""2"",""ITPN-207456"",""3"",""20000"""</f>
        <v>"Ceres NTFB Live","NTFB Live","5767","1","Invt. Pick","2","ITPN-207456","3","20000"</v>
      </c>
      <c r="D29" s="89" t="str">
        <f>"04-27-01"</f>
        <v>04-27-01</v>
      </c>
      <c r="E29" s="89" t="str">
        <f>"P00193738"</f>
        <v>P00193738</v>
      </c>
      <c r="F29" s="89" t="str">
        <f>"1000002472"</f>
        <v>1000002472</v>
      </c>
      <c r="G29" s="91" t="s">
        <v>1232</v>
      </c>
      <c r="H29" s="90" t="str">
        <f>"SAUCE, TURKEY GRAVY, CAMPBELL"</f>
        <v>SAUCE, TURKEY GRAVY, CAMPBELL</v>
      </c>
      <c r="I29" s="89">
        <v>3</v>
      </c>
      <c r="J29" s="89" t="str">
        <f t="shared" si="3"/>
        <v>CS</v>
      </c>
      <c r="K29" s="88"/>
      <c r="L29" s="87"/>
      <c r="M29" s="87"/>
      <c r="N29" s="85" t="s">
        <v>179</v>
      </c>
      <c r="O29" s="85">
        <v>75</v>
      </c>
      <c r="P29" s="85" t="str">
        <f>"DRY"</f>
        <v>DRY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4"/>
        <v>Show</v>
      </c>
      <c r="C30" s="74" t="str">
        <f>"""Ceres NTFB Live"",""NTFB Live"",""5767"",""1"",""Invt. Pick"",""2"",""ITPN-207456"",""3"",""80000"""</f>
        <v>"Ceres NTFB Live","NTFB Live","5767","1","Invt. Pick","2","ITPN-207456","3","80000"</v>
      </c>
      <c r="D30" s="89" t="str">
        <f>"04-43-01"</f>
        <v>04-43-01</v>
      </c>
      <c r="E30" s="89" t="str">
        <f>"P00187533"</f>
        <v>P00187533</v>
      </c>
      <c r="F30" s="89" t="str">
        <f>"1000001995"</f>
        <v>1000001995</v>
      </c>
      <c r="G30" s="91" t="s">
        <v>1232</v>
      </c>
      <c r="H30" s="90" t="str">
        <f>"ASSORTED BEVERAGES (DRY) - ASBEDNO - 40#"</f>
        <v>ASSORTED BEVERAGES (DRY) - ASBEDNO - 40#</v>
      </c>
      <c r="I30" s="89">
        <v>10</v>
      </c>
      <c r="J30" s="89" t="str">
        <f t="shared" si="3"/>
        <v>CS</v>
      </c>
      <c r="K30" s="88"/>
      <c r="L30" s="87"/>
      <c r="M30" s="87"/>
      <c r="N30" s="85" t="s">
        <v>179</v>
      </c>
      <c r="O30" s="85">
        <v>400</v>
      </c>
      <c r="P30" s="85" t="str">
        <f>"DRY"</f>
        <v>DRY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si="4"/>
        <v>Show</v>
      </c>
      <c r="C31" s="74" t="str">
        <f>"""Ceres NTFB Live"",""NTFB Live"",""5767"",""1"",""Invt. Pick"",""2"",""ITPN-207457"",""3"",""51000"""</f>
        <v>"Ceres NTFB Live","NTFB Live","5767","1","Invt. Pick","2","ITPN-207457","3","51000"</v>
      </c>
      <c r="D31" s="89" t="str">
        <f>"33-07-01"</f>
        <v>33-07-01</v>
      </c>
      <c r="E31" s="89" t="str">
        <f>"P00152501"</f>
        <v>P00152501</v>
      </c>
      <c r="F31" s="89" t="str">
        <f>"1000002882"</f>
        <v>1000002882</v>
      </c>
      <c r="G31" s="91" t="s">
        <v>1233</v>
      </c>
      <c r="H31" s="90" t="str">
        <f>"USDA CRANBERRY, JELLIED, CANNED"</f>
        <v>USDA CRANBERRY, JELLIED, CANNED</v>
      </c>
      <c r="I31" s="89">
        <v>3</v>
      </c>
      <c r="J31" s="89" t="str">
        <f t="shared" si="3"/>
        <v>CS</v>
      </c>
      <c r="K31" s="88"/>
      <c r="L31" s="87"/>
      <c r="M31" s="87"/>
      <c r="N31" s="85" t="s">
        <v>179</v>
      </c>
      <c r="O31" s="85">
        <v>75</v>
      </c>
      <c r="P31" s="85" t="str">
        <f>"DRYUSDA"</f>
        <v>DRYUSDA</v>
      </c>
      <c r="Q31" s="86" t="s">
        <v>56</v>
      </c>
    </row>
    <row r="32" spans="1:17" ht="15.75" thickBot="1" x14ac:dyDescent="0.3">
      <c r="B32" s="74" t="str">
        <f>B26</f>
        <v>Show</v>
      </c>
      <c r="H32" s="85"/>
      <c r="I32" s="85"/>
    </row>
    <row r="33" spans="1:16" ht="15.75" thickBot="1" x14ac:dyDescent="0.3">
      <c r="B33" s="74" t="str">
        <f>+B32</f>
        <v>Show</v>
      </c>
      <c r="D33" s="193" t="str">
        <f>+"END OF "&amp;D2</f>
        <v>END OF SALVATION ARMY OAK CLIFF  (002052P) - DRY|DRYUSDA|MCTF PICK LIST</v>
      </c>
      <c r="E33" s="194"/>
      <c r="F33" s="194"/>
      <c r="G33" s="194"/>
      <c r="H33" s="194"/>
      <c r="I33" s="194"/>
      <c r="J33" s="194"/>
      <c r="K33" s="194"/>
      <c r="L33" s="194"/>
      <c r="M33" s="195"/>
    </row>
    <row r="34" spans="1:16" ht="15.75" thickBot="1" x14ac:dyDescent="0.3"/>
    <row r="35" spans="1:16" ht="80.099999999999994" customHeight="1" thickBot="1" x14ac:dyDescent="0.3">
      <c r="A35" s="76" t="s">
        <v>30</v>
      </c>
      <c r="D35" s="166" t="str">
        <f>+F6</f>
        <v>PICKUP</v>
      </c>
      <c r="E35" s="167"/>
      <c r="F35" s="167"/>
      <c r="G35" s="167"/>
      <c r="H35" s="167"/>
      <c r="I35" s="167"/>
      <c r="J35" s="167"/>
      <c r="K35" s="167"/>
      <c r="L35" s="167"/>
      <c r="M35" s="168"/>
    </row>
    <row r="36" spans="1:16" ht="36.75" x14ac:dyDescent="0.45">
      <c r="A36" s="76" t="s">
        <v>30</v>
      </c>
      <c r="D36" s="176" t="s">
        <v>12</v>
      </c>
      <c r="E36" s="177"/>
      <c r="F36" s="196" t="str">
        <f>+F4</f>
        <v>002052P</v>
      </c>
      <c r="G36" s="196"/>
      <c r="H36" s="196"/>
      <c r="I36" s="196"/>
      <c r="J36" s="196"/>
      <c r="K36" s="196"/>
      <c r="L36" s="196"/>
      <c r="M36" s="197"/>
    </row>
    <row r="37" spans="1:16" ht="37.5" customHeight="1" thickBot="1" x14ac:dyDescent="0.5">
      <c r="A37" s="76" t="s">
        <v>30</v>
      </c>
      <c r="D37" s="158" t="s">
        <v>5</v>
      </c>
      <c r="E37" s="159"/>
      <c r="F37" s="161" t="str">
        <f>+F5</f>
        <v>SALVATION ARMY OAK CLIFF</v>
      </c>
      <c r="G37" s="161"/>
      <c r="H37" s="161"/>
      <c r="I37" s="161"/>
      <c r="J37" s="161"/>
      <c r="K37" s="161"/>
      <c r="L37" s="161"/>
      <c r="M37" s="162"/>
      <c r="N37" s="84"/>
      <c r="O37" s="84"/>
      <c r="P37" s="84"/>
    </row>
    <row r="38" spans="1:16" ht="33.75" hidden="1" thickBot="1" x14ac:dyDescent="0.45">
      <c r="A38" s="76" t="s">
        <v>19</v>
      </c>
      <c r="D38" s="172" t="s">
        <v>49</v>
      </c>
      <c r="E38" s="173"/>
      <c r="F38" s="82"/>
      <c r="G38" s="83"/>
      <c r="H38" s="82"/>
      <c r="I38" s="82"/>
      <c r="J38" s="82"/>
      <c r="K38" s="82"/>
      <c r="L38" s="82"/>
      <c r="M38" s="81"/>
    </row>
    <row r="39" spans="1:16" ht="30" hidden="1" customHeight="1" x14ac:dyDescent="0.25">
      <c r="A39" s="76" t="s">
        <v>19</v>
      </c>
      <c r="D39" s="80"/>
      <c r="E39" s="78"/>
      <c r="F39" s="174" t="s">
        <v>1226</v>
      </c>
      <c r="G39" s="174"/>
      <c r="H39" s="174"/>
      <c r="I39" s="174"/>
      <c r="J39" s="174"/>
      <c r="K39" s="174"/>
      <c r="L39" s="174"/>
      <c r="M39" s="175"/>
    </row>
    <row r="40" spans="1:16" ht="15.75" hidden="1" customHeight="1" thickBot="1" x14ac:dyDescent="0.3">
      <c r="A40" s="76" t="s">
        <v>19</v>
      </c>
      <c r="D40" s="80"/>
      <c r="E40" s="78"/>
      <c r="F40" s="78"/>
      <c r="G40" s="79"/>
      <c r="H40" s="78"/>
      <c r="I40" s="78"/>
      <c r="J40" s="78"/>
      <c r="K40" s="78"/>
      <c r="L40" s="78"/>
      <c r="M40" s="77"/>
    </row>
    <row r="41" spans="1:16" ht="36.75" x14ac:dyDescent="0.45">
      <c r="A41" s="76" t="s">
        <v>30</v>
      </c>
      <c r="D41" s="176" t="s">
        <v>50</v>
      </c>
      <c r="E41" s="177"/>
      <c r="F41" s="178">
        <f>+F7</f>
        <v>42612</v>
      </c>
      <c r="G41" s="179"/>
      <c r="H41" s="179"/>
      <c r="I41" s="179"/>
      <c r="J41" s="179"/>
      <c r="K41" s="179"/>
      <c r="L41" s="179"/>
      <c r="M41" s="180"/>
    </row>
    <row r="42" spans="1:16" ht="37.5" thickBot="1" x14ac:dyDescent="0.5">
      <c r="A42" s="76" t="s">
        <v>30</v>
      </c>
      <c r="D42" s="158" t="s">
        <v>32</v>
      </c>
      <c r="E42" s="159"/>
      <c r="F42" s="160"/>
      <c r="G42" s="161"/>
      <c r="H42" s="161"/>
      <c r="I42" s="161"/>
      <c r="J42" s="161"/>
      <c r="K42" s="161"/>
      <c r="L42" s="161"/>
      <c r="M42" s="162"/>
    </row>
    <row r="43" spans="1:16" ht="80.099999999999994" customHeight="1" thickBot="1" x14ac:dyDescent="0.3">
      <c r="A43" s="76" t="s">
        <v>30</v>
      </c>
      <c r="D43" s="163" t="s">
        <v>51</v>
      </c>
      <c r="E43" s="164"/>
      <c r="F43" s="164"/>
      <c r="G43" s="164"/>
      <c r="H43" s="164"/>
      <c r="I43" s="164"/>
      <c r="J43" s="164"/>
      <c r="K43" s="164"/>
      <c r="L43" s="164"/>
      <c r="M43" s="165"/>
    </row>
    <row r="44" spans="1:16" ht="90" customHeight="1" thickBot="1" x14ac:dyDescent="0.3">
      <c r="A44" s="76" t="s">
        <v>30</v>
      </c>
      <c r="D44" s="166" t="str">
        <f>IF(F6="DELIVER",G6,F6)</f>
        <v>PICKUP</v>
      </c>
      <c r="E44" s="167"/>
      <c r="F44" s="167"/>
      <c r="G44" s="167"/>
      <c r="H44" s="167"/>
      <c r="I44" s="167"/>
      <c r="J44" s="167"/>
      <c r="K44" s="167"/>
      <c r="L44" s="167"/>
      <c r="M44" s="168"/>
    </row>
    <row r="45" spans="1:16" ht="60" customHeight="1" thickBot="1" x14ac:dyDescent="0.3">
      <c r="A45" s="76" t="s">
        <v>30</v>
      </c>
      <c r="D45" s="169" t="s">
        <v>55</v>
      </c>
      <c r="E45" s="170"/>
      <c r="F45" s="170"/>
      <c r="G45" s="170"/>
      <c r="H45" s="170"/>
      <c r="I45" s="170"/>
      <c r="J45" s="170"/>
      <c r="K45" s="170"/>
      <c r="L45" s="170"/>
      <c r="M45" s="171"/>
    </row>
  </sheetData>
  <mergeCells count="17">
    <mergeCell ref="D2:M2"/>
    <mergeCell ref="F17:M19"/>
    <mergeCell ref="D33:M33"/>
    <mergeCell ref="D35:M35"/>
    <mergeCell ref="D36:E36"/>
    <mergeCell ref="F36:M36"/>
    <mergeCell ref="D37:E37"/>
    <mergeCell ref="F37:M37"/>
    <mergeCell ref="D38:E38"/>
    <mergeCell ref="F39:M39"/>
    <mergeCell ref="D41:E41"/>
    <mergeCell ref="F41:M41"/>
    <mergeCell ref="D42:E42"/>
    <mergeCell ref="F42:M42"/>
    <mergeCell ref="D43:M43"/>
    <mergeCell ref="D44:M44"/>
    <mergeCell ref="D45:M45"/>
  </mergeCells>
  <conditionalFormatting sqref="F6">
    <cfRule type="cellIs" dxfId="469" priority="5" operator="equal">
      <formula>"DELIVER"</formula>
    </cfRule>
  </conditionalFormatting>
  <conditionalFormatting sqref="D35">
    <cfRule type="cellIs" dxfId="468" priority="4" operator="equal">
      <formula>"DELIVER"</formula>
    </cfRule>
  </conditionalFormatting>
  <conditionalFormatting sqref="D2:M2">
    <cfRule type="expression" dxfId="467" priority="3">
      <formula>$F$6="DELIVER"</formula>
    </cfRule>
  </conditionalFormatting>
  <conditionalFormatting sqref="G6">
    <cfRule type="expression" dxfId="466" priority="2">
      <formula>$F$6="DELIVER"</formula>
    </cfRule>
  </conditionalFormatting>
  <conditionalFormatting sqref="D44">
    <cfRule type="expression" dxfId="46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3" max="16383" man="1"/>
  </rowBreak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1702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HOLY COVENANT UMC  (002719P)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"002719P"</f>
        <v>002719P</v>
      </c>
      <c r="E4" s="101" t="s">
        <v>37</v>
      </c>
      <c r="F4" s="105" t="str">
        <f>C4</f>
        <v>002719P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1306</v>
      </c>
      <c r="E5" s="101" t="s">
        <v>36</v>
      </c>
      <c r="F5" s="112" t="s">
        <v>1178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1307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A108316|A108316|A108316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ITPN-207465|ITPN-207466|ITPN-207465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1306</v>
      </c>
      <c r="E12" s="74" t="s">
        <v>1300</v>
      </c>
      <c r="F12" s="74" t="s">
        <v>1301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Pick"",""2"",""ITPN-207466"""</f>
        <v>"Ceres NTFB Live","NTFB Live","5766","1","Invt. Pick","2","ITPN-207466"</v>
      </c>
      <c r="E13" s="74" t="s">
        <v>1300</v>
      </c>
      <c r="F13" s="74" t="s">
        <v>1302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1300</v>
      </c>
      <c r="E14" s="74" t="str">
        <f>E12</f>
        <v>A108316</v>
      </c>
      <c r="F14" s="74" t="str">
        <f>F12</f>
        <v>ITPN-207465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1303</v>
      </c>
      <c r="F15" s="92" t="s">
        <v>1304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1305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45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HOLY COVENANT UMC  (002719P) - NO FRZ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002719P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HOLY COVENANT UMC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1300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COLLIN 3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199" priority="5" operator="equal">
      <formula>"DELIVER"</formula>
    </cfRule>
  </conditionalFormatting>
  <conditionalFormatting sqref="D29">
    <cfRule type="cellIs" dxfId="198" priority="4" operator="equal">
      <formula>"DELIVER"</formula>
    </cfRule>
  </conditionalFormatting>
  <conditionalFormatting sqref="D2:M2">
    <cfRule type="expression" dxfId="197" priority="3">
      <formula>$F$6="DELIVER"</formula>
    </cfRule>
  </conditionalFormatting>
  <conditionalFormatting sqref="G6">
    <cfRule type="expression" dxfId="196" priority="2">
      <formula>$F$6="DELIVER"</formula>
    </cfRule>
  </conditionalFormatting>
  <conditionalFormatting sqref="D38">
    <cfRule type="expression" dxfId="19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1704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/>
      </c>
      <c r="C2" s="74" t="s">
        <v>7</v>
      </c>
      <c r="D2" s="181" t="str">
        <f>IF(E28="",F5&amp;"  ("&amp;F4&amp;") - NO "&amp;C27,F5&amp;"  ("&amp;F4&amp;") - "&amp;C27&amp;" PICK LIST")</f>
        <v>GOLDEN GATE BAPTIST CHURCH  (003405P) - FRZ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"003405P"</f>
        <v>003405P</v>
      </c>
      <c r="E4" s="101" t="s">
        <v>37</v>
      </c>
      <c r="F4" s="105" t="str">
        <f>C4</f>
        <v>003405P</v>
      </c>
      <c r="K4" s="101" t="s">
        <v>42</v>
      </c>
      <c r="L4" s="104"/>
      <c r="M4" s="111">
        <f>SUM(I28:I30)</f>
        <v>8</v>
      </c>
    </row>
    <row r="5" spans="1:26" ht="18" customHeight="1" x14ac:dyDescent="0.25">
      <c r="B5" s="76" t="str">
        <f t="shared" si="0"/>
        <v>Show</v>
      </c>
      <c r="C5" s="109" t="s">
        <v>1312</v>
      </c>
      <c r="E5" s="101" t="s">
        <v>36</v>
      </c>
      <c r="F5" s="112" t="s">
        <v>1191</v>
      </c>
      <c r="K5" s="101" t="s">
        <v>43</v>
      </c>
      <c r="L5" s="104"/>
      <c r="M5" s="111">
        <f>ROUND(SUM(O28:O30),0)</f>
        <v>198</v>
      </c>
    </row>
    <row r="6" spans="1:26" ht="18" customHeight="1" x14ac:dyDescent="0.25">
      <c r="B6" s="76" t="str">
        <f t="shared" si="0"/>
        <v>Show</v>
      </c>
      <c r="C6" s="109" t="s">
        <v>1313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ROUND(COUNT(O28:O30),0)</f>
        <v>2</v>
      </c>
      <c r="P6" s="101"/>
      <c r="W6" s="101" t="str">
        <f>"ESTIMATED "&amp;O27&amp;"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E18</f>
        <v>A108357|A108357|A108357|A108358|A108358|A108357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F18</f>
        <v>ITPN-207481|ITPN-207482|ITPN-207483|ITPN-207484|ITPN-207485|ITPN-207481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B17</f>
        <v>Show</v>
      </c>
      <c r="C12" s="74" t="s">
        <v>1798</v>
      </c>
      <c r="E12" s="74" t="str">
        <f>"A108357"</f>
        <v>A108357</v>
      </c>
      <c r="F12" s="74" t="str">
        <f>"ITPN-207481"</f>
        <v>ITPN-207481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6" si="1">B18</f>
        <v>Show</v>
      </c>
      <c r="C13" s="74" t="str">
        <f>"""Ceres NTFB Live"",""NTFB Live"",""5766"",""1"",""Invt. Pick"",""2"",""ITPN-207482"""</f>
        <v>"Ceres NTFB Live","NTFB Live","5766","1","Invt. Pick","2","ITPN-207482"</v>
      </c>
      <c r="E13" s="74" t="str">
        <f>"A108357"</f>
        <v>A108357</v>
      </c>
      <c r="F13" s="74" t="str">
        <f>"ITPN-207482"</f>
        <v>ITPN-207482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Pick"",""2"",""ITPN-207483"""</f>
        <v>"Ceres NTFB Live","NTFB Live","5766","1","Invt. Pick","2","ITPN-207483"</v>
      </c>
      <c r="E14" s="74" t="str">
        <f>"A108357"</f>
        <v>A108357</v>
      </c>
      <c r="F14" s="74" t="str">
        <f>"ITPN-207483"</f>
        <v>ITPN-207483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173</v>
      </c>
      <c r="B15" s="76" t="str">
        <f t="shared" si="1"/>
        <v>Show</v>
      </c>
      <c r="C15" s="74" t="str">
        <f>"""Ceres NTFB Live"",""NTFB Live"",""5766"",""1"",""Invt. Pick"",""2"",""ITPN-207484"""</f>
        <v>"Ceres NTFB Live","NTFB Live","5766","1","Invt. Pick","2","ITPN-207484"</v>
      </c>
      <c r="E15" s="74" t="str">
        <f>"A108358"</f>
        <v>A108358</v>
      </c>
      <c r="F15" s="74" t="str">
        <f>"ITPN-207484"</f>
        <v>ITPN-207484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173</v>
      </c>
      <c r="B16" s="76" t="str">
        <f t="shared" si="1"/>
        <v>Show</v>
      </c>
      <c r="C16" s="74" t="str">
        <f>"""Ceres NTFB Live"",""NTFB Live"",""5766"",""1"",""Invt. Pick"",""2"",""ITPN-207485"""</f>
        <v>"Ceres NTFB Live","NTFB Live","5766","1","Invt. Pick","2","ITPN-207485"</v>
      </c>
      <c r="E16" s="74" t="str">
        <f>"A108358"</f>
        <v>A108358</v>
      </c>
      <c r="F16" s="74" t="str">
        <f>"ITPN-207485"</f>
        <v>ITPN-207485</v>
      </c>
      <c r="I16" s="98"/>
      <c r="J16" s="98"/>
      <c r="K16" s="98"/>
      <c r="L16" s="98"/>
      <c r="M16" s="98"/>
    </row>
    <row r="17" spans="1:17" ht="15.75" hidden="1" thickBot="1" x14ac:dyDescent="0.3">
      <c r="A17" s="74" t="s">
        <v>6</v>
      </c>
      <c r="B17" s="76" t="str">
        <f t="shared" ref="B17:B27" si="2">B18</f>
        <v>Show</v>
      </c>
      <c r="C17" s="74" t="s">
        <v>1311</v>
      </c>
      <c r="E17" s="74" t="str">
        <f>E12</f>
        <v>A108357</v>
      </c>
      <c r="F17" s="74" t="str">
        <f>F12</f>
        <v>ITPN-207481</v>
      </c>
      <c r="I17" s="98"/>
      <c r="J17" s="98"/>
      <c r="K17" s="98"/>
      <c r="L17" s="98"/>
      <c r="M17" s="98"/>
    </row>
    <row r="18" spans="1:17" ht="15.75" hidden="1" thickBot="1" x14ac:dyDescent="0.3">
      <c r="A18" s="74" t="s">
        <v>6</v>
      </c>
      <c r="B18" s="76" t="str">
        <f t="shared" si="2"/>
        <v>Show</v>
      </c>
      <c r="E18" s="92" t="s">
        <v>1797</v>
      </c>
      <c r="F18" s="92" t="s">
        <v>1796</v>
      </c>
      <c r="I18" s="98"/>
      <c r="J18" s="98"/>
      <c r="K18" s="98"/>
      <c r="L18" s="98"/>
      <c r="M18" s="98"/>
    </row>
    <row r="19" spans="1:17" x14ac:dyDescent="0.25">
      <c r="B19" s="76" t="str">
        <f t="shared" si="2"/>
        <v>Show</v>
      </c>
      <c r="E19" s="101" t="s">
        <v>20</v>
      </c>
      <c r="F19" s="184" t="s">
        <v>179</v>
      </c>
      <c r="G19" s="185"/>
      <c r="H19" s="185"/>
      <c r="I19" s="185"/>
      <c r="J19" s="185"/>
      <c r="K19" s="185"/>
      <c r="L19" s="185"/>
      <c r="M19" s="186"/>
    </row>
    <row r="20" spans="1:17" x14ac:dyDescent="0.25">
      <c r="B20" s="76" t="str">
        <f t="shared" si="2"/>
        <v>Show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thickBot="1" x14ac:dyDescent="0.3">
      <c r="B21" s="76" t="str">
        <f t="shared" si="2"/>
        <v>Show</v>
      </c>
      <c r="F21" s="190"/>
      <c r="G21" s="191"/>
      <c r="H21" s="191"/>
      <c r="I21" s="191"/>
      <c r="J21" s="191"/>
      <c r="K21" s="191"/>
      <c r="L21" s="191"/>
      <c r="M21" s="192"/>
    </row>
    <row r="22" spans="1:17" x14ac:dyDescent="0.25">
      <c r="B22" s="76" t="str">
        <f t="shared" si="2"/>
        <v>Show</v>
      </c>
    </row>
    <row r="23" spans="1:17" x14ac:dyDescent="0.25">
      <c r="B23" s="76" t="str">
        <f t="shared" si="2"/>
        <v>Show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x14ac:dyDescent="0.25">
      <c r="B24" s="76" t="str">
        <f t="shared" si="2"/>
        <v>Show</v>
      </c>
      <c r="E24" s="101"/>
    </row>
    <row r="25" spans="1:17" x14ac:dyDescent="0.25">
      <c r="B25" s="76" t="str">
        <f t="shared" si="2"/>
        <v>Show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x14ac:dyDescent="0.25">
      <c r="B26" s="76" t="str">
        <f t="shared" si="2"/>
        <v>Show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customHeight="1" x14ac:dyDescent="0.25">
      <c r="A27" s="97"/>
      <c r="B27" s="76" t="str">
        <f t="shared" si="2"/>
        <v>Show</v>
      </c>
      <c r="C27" s="117" t="s">
        <v>45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customHeight="1" x14ac:dyDescent="0.25">
      <c r="B28" s="92" t="str">
        <f>IF(I28="","Hide","Show")</f>
        <v>Show</v>
      </c>
      <c r="C28" s="74" t="s">
        <v>1514</v>
      </c>
      <c r="D28" s="89" t="s">
        <v>784</v>
      </c>
      <c r="E28" s="89" t="s">
        <v>785</v>
      </c>
      <c r="F28" s="89" t="s">
        <v>786</v>
      </c>
      <c r="G28" s="91" t="s">
        <v>1510</v>
      </c>
      <c r="H28" s="90" t="s">
        <v>787</v>
      </c>
      <c r="I28" s="89">
        <v>2</v>
      </c>
      <c r="J28" s="89" t="s">
        <v>286</v>
      </c>
      <c r="K28" s="88"/>
      <c r="L28" s="87"/>
      <c r="M28" s="87"/>
      <c r="N28" s="85" t="s">
        <v>179</v>
      </c>
      <c r="O28" s="85">
        <v>24</v>
      </c>
      <c r="P28" s="85" t="s">
        <v>45</v>
      </c>
      <c r="Q28" s="86" t="s">
        <v>56</v>
      </c>
    </row>
    <row r="29" spans="1:17" ht="24.95" customHeight="1" x14ac:dyDescent="0.25">
      <c r="A29" s="74" t="s">
        <v>174</v>
      </c>
      <c r="B29" s="92" t="str">
        <f>IF(I29="","Hide","Show")</f>
        <v>Show</v>
      </c>
      <c r="C29" s="74" t="str">
        <f>"""Ceres NTFB Live"",""NTFB Live"",""5767"",""1"",""Invt. Pick"",""2"",""ITPN-207481"",""3"",""40000"""</f>
        <v>"Ceres NTFB Live","NTFB Live","5767","1","Invt. Pick","2","ITPN-207481","3","40000"</v>
      </c>
      <c r="D29" s="89" t="s">
        <v>768</v>
      </c>
      <c r="E29" s="89" t="s">
        <v>1511</v>
      </c>
      <c r="F29" s="89" t="s">
        <v>1512</v>
      </c>
      <c r="G29" s="91" t="s">
        <v>1510</v>
      </c>
      <c r="H29" s="90" t="s">
        <v>1513</v>
      </c>
      <c r="I29" s="89">
        <v>6</v>
      </c>
      <c r="J29" s="89" t="s">
        <v>286</v>
      </c>
      <c r="K29" s="88"/>
      <c r="L29" s="87"/>
      <c r="M29" s="87"/>
      <c r="N29" s="85" t="s">
        <v>179</v>
      </c>
      <c r="O29" s="85">
        <v>174</v>
      </c>
      <c r="P29" s="85" t="s">
        <v>45</v>
      </c>
      <c r="Q29" s="86" t="s">
        <v>56</v>
      </c>
    </row>
    <row r="30" spans="1:17" ht="15.75" thickBot="1" x14ac:dyDescent="0.3">
      <c r="B30" s="74" t="str">
        <f>B28</f>
        <v>Show</v>
      </c>
      <c r="H30" s="85"/>
      <c r="I30" s="85"/>
    </row>
    <row r="31" spans="1:17" ht="15.75" thickBot="1" x14ac:dyDescent="0.3">
      <c r="B31" s="74" t="str">
        <f>+B30</f>
        <v>Show</v>
      </c>
      <c r="D31" s="193" t="str">
        <f>+"END OF "&amp;D2</f>
        <v>END OF GOLDEN GATE BAPTIST CHURCH  (003405P) - FRZ PICK LIST</v>
      </c>
      <c r="E31" s="194"/>
      <c r="F31" s="194"/>
      <c r="G31" s="194"/>
      <c r="H31" s="194"/>
      <c r="I31" s="194"/>
      <c r="J31" s="194"/>
      <c r="K31" s="194"/>
      <c r="L31" s="194"/>
      <c r="M31" s="195"/>
    </row>
    <row r="32" spans="1:17" ht="15.75" thickBot="1" x14ac:dyDescent="0.3"/>
    <row r="33" spans="1:16" ht="80.099999999999994" customHeight="1" thickBot="1" x14ac:dyDescent="0.3">
      <c r="A33" s="76" t="s">
        <v>30</v>
      </c>
      <c r="D33" s="166" t="str">
        <f>+F6</f>
        <v>PICKUP</v>
      </c>
      <c r="E33" s="167"/>
      <c r="F33" s="167"/>
      <c r="G33" s="167"/>
      <c r="H33" s="167"/>
      <c r="I33" s="167"/>
      <c r="J33" s="167"/>
      <c r="K33" s="167"/>
      <c r="L33" s="167"/>
      <c r="M33" s="168"/>
    </row>
    <row r="34" spans="1:16" ht="36.75" x14ac:dyDescent="0.45">
      <c r="A34" s="76" t="s">
        <v>30</v>
      </c>
      <c r="D34" s="176" t="s">
        <v>12</v>
      </c>
      <c r="E34" s="177"/>
      <c r="F34" s="196" t="str">
        <f>+F4</f>
        <v>003405P</v>
      </c>
      <c r="G34" s="196"/>
      <c r="H34" s="196"/>
      <c r="I34" s="196"/>
      <c r="J34" s="196"/>
      <c r="K34" s="196"/>
      <c r="L34" s="196"/>
      <c r="M34" s="197"/>
    </row>
    <row r="35" spans="1:16" ht="37.5" customHeight="1" thickBot="1" x14ac:dyDescent="0.5">
      <c r="A35" s="76" t="s">
        <v>30</v>
      </c>
      <c r="D35" s="158" t="s">
        <v>5</v>
      </c>
      <c r="E35" s="159"/>
      <c r="F35" s="161" t="str">
        <f>+F5</f>
        <v>GOLDEN GATE BAPTIST CHURCH</v>
      </c>
      <c r="G35" s="161"/>
      <c r="H35" s="161"/>
      <c r="I35" s="161"/>
      <c r="J35" s="161"/>
      <c r="K35" s="161"/>
      <c r="L35" s="161"/>
      <c r="M35" s="162"/>
      <c r="N35" s="84"/>
      <c r="O35" s="84"/>
      <c r="P35" s="84"/>
    </row>
    <row r="36" spans="1:16" ht="33.75" hidden="1" thickBot="1" x14ac:dyDescent="0.45">
      <c r="A36" s="76" t="s">
        <v>19</v>
      </c>
      <c r="D36" s="172" t="s">
        <v>49</v>
      </c>
      <c r="E36" s="173"/>
      <c r="F36" s="82"/>
      <c r="G36" s="83"/>
      <c r="H36" s="82"/>
      <c r="I36" s="82"/>
      <c r="J36" s="82"/>
      <c r="K36" s="82"/>
      <c r="L36" s="82"/>
      <c r="M36" s="81"/>
    </row>
    <row r="37" spans="1:16" ht="30" hidden="1" customHeight="1" x14ac:dyDescent="0.25">
      <c r="A37" s="76" t="s">
        <v>19</v>
      </c>
      <c r="D37" s="80"/>
      <c r="E37" s="78"/>
      <c r="F37" s="174" t="s">
        <v>1311</v>
      </c>
      <c r="G37" s="174"/>
      <c r="H37" s="174"/>
      <c r="I37" s="174"/>
      <c r="J37" s="174"/>
      <c r="K37" s="174"/>
      <c r="L37" s="174"/>
      <c r="M37" s="175"/>
    </row>
    <row r="38" spans="1:16" ht="30" hidden="1" customHeight="1" x14ac:dyDescent="0.25">
      <c r="A38" s="76" t="s">
        <v>184</v>
      </c>
      <c r="D38" s="80"/>
      <c r="E38" s="78"/>
      <c r="F38" s="174" t="str">
        <f>"A108358"</f>
        <v>A108358</v>
      </c>
      <c r="G38" s="174"/>
      <c r="H38" s="174"/>
      <c r="I38" s="174"/>
      <c r="J38" s="174"/>
      <c r="K38" s="174"/>
      <c r="L38" s="174"/>
      <c r="M38" s="175"/>
    </row>
    <row r="39" spans="1:16" ht="15.75" hidden="1" customHeight="1" thickBot="1" x14ac:dyDescent="0.3">
      <c r="A39" s="76" t="s">
        <v>19</v>
      </c>
      <c r="D39" s="80"/>
      <c r="E39" s="78"/>
      <c r="F39" s="78"/>
      <c r="G39" s="79"/>
      <c r="H39" s="78"/>
      <c r="I39" s="78"/>
      <c r="J39" s="78"/>
      <c r="K39" s="78"/>
      <c r="L39" s="78"/>
      <c r="M39" s="77"/>
    </row>
    <row r="40" spans="1:16" ht="36.75" x14ac:dyDescent="0.45">
      <c r="A40" s="76" t="s">
        <v>30</v>
      </c>
      <c r="D40" s="176" t="s">
        <v>50</v>
      </c>
      <c r="E40" s="177"/>
      <c r="F40" s="178">
        <f>+F7</f>
        <v>42612</v>
      </c>
      <c r="G40" s="179"/>
      <c r="H40" s="179"/>
      <c r="I40" s="179"/>
      <c r="J40" s="179"/>
      <c r="K40" s="179"/>
      <c r="L40" s="179"/>
      <c r="M40" s="180"/>
    </row>
    <row r="41" spans="1:16" ht="37.5" thickBot="1" x14ac:dyDescent="0.5">
      <c r="A41" s="76" t="s">
        <v>30</v>
      </c>
      <c r="D41" s="158" t="s">
        <v>32</v>
      </c>
      <c r="E41" s="159"/>
      <c r="F41" s="160"/>
      <c r="G41" s="161"/>
      <c r="H41" s="161"/>
      <c r="I41" s="161"/>
      <c r="J41" s="161"/>
      <c r="K41" s="161"/>
      <c r="L41" s="161"/>
      <c r="M41" s="162"/>
    </row>
    <row r="42" spans="1:16" ht="80.099999999999994" customHeight="1" thickBot="1" x14ac:dyDescent="0.3">
      <c r="A42" s="76" t="s">
        <v>30</v>
      </c>
      <c r="D42" s="163" t="s">
        <v>51</v>
      </c>
      <c r="E42" s="164"/>
      <c r="F42" s="164"/>
      <c r="G42" s="164"/>
      <c r="H42" s="164"/>
      <c r="I42" s="164"/>
      <c r="J42" s="164"/>
      <c r="K42" s="164"/>
      <c r="L42" s="164"/>
      <c r="M42" s="165"/>
    </row>
    <row r="43" spans="1:16" ht="90" customHeight="1" thickBot="1" x14ac:dyDescent="0.3">
      <c r="A43" s="76" t="s">
        <v>30</v>
      </c>
      <c r="D43" s="166" t="str">
        <f>IF(F6="DELIVER",G6,F6)</f>
        <v>PICKUP</v>
      </c>
      <c r="E43" s="167"/>
      <c r="F43" s="167"/>
      <c r="G43" s="167"/>
      <c r="H43" s="167"/>
      <c r="I43" s="167"/>
      <c r="J43" s="167"/>
      <c r="K43" s="167"/>
      <c r="L43" s="167"/>
      <c r="M43" s="168"/>
    </row>
    <row r="44" spans="1:16" ht="60" customHeight="1" thickBot="1" x14ac:dyDescent="0.3">
      <c r="A44" s="76" t="s">
        <v>30</v>
      </c>
      <c r="D44" s="169" t="s">
        <v>55</v>
      </c>
      <c r="E44" s="170"/>
      <c r="F44" s="170"/>
      <c r="G44" s="170"/>
      <c r="H44" s="170"/>
      <c r="I44" s="170"/>
      <c r="J44" s="170"/>
      <c r="K44" s="170"/>
      <c r="L44" s="170"/>
      <c r="M44" s="171"/>
    </row>
  </sheetData>
  <mergeCells count="18">
    <mergeCell ref="D40:E40"/>
    <mergeCell ref="F40:M40"/>
    <mergeCell ref="D2:M2"/>
    <mergeCell ref="F19:M21"/>
    <mergeCell ref="D31:M31"/>
    <mergeCell ref="D33:M33"/>
    <mergeCell ref="D34:E34"/>
    <mergeCell ref="F34:M34"/>
    <mergeCell ref="F38:M38"/>
    <mergeCell ref="D35:E35"/>
    <mergeCell ref="F35:M35"/>
    <mergeCell ref="D36:E36"/>
    <mergeCell ref="F37:M37"/>
    <mergeCell ref="D41:E41"/>
    <mergeCell ref="F41:M41"/>
    <mergeCell ref="D42:M42"/>
    <mergeCell ref="D43:M43"/>
    <mergeCell ref="D44:M44"/>
  </mergeCells>
  <conditionalFormatting sqref="F6">
    <cfRule type="cellIs" dxfId="194" priority="5" operator="equal">
      <formula>"DELIVER"</formula>
    </cfRule>
  </conditionalFormatting>
  <conditionalFormatting sqref="D33">
    <cfRule type="cellIs" dxfId="193" priority="4" operator="equal">
      <formula>"DELIVER"</formula>
    </cfRule>
  </conditionalFormatting>
  <conditionalFormatting sqref="D2:M2">
    <cfRule type="expression" dxfId="192" priority="3">
      <formula>$F$6="DELIVER"</formula>
    </cfRule>
  </conditionalFormatting>
  <conditionalFormatting sqref="G6">
    <cfRule type="expression" dxfId="191" priority="2">
      <formula>$F$6="DELIVER"</formula>
    </cfRule>
  </conditionalFormatting>
  <conditionalFormatting sqref="D43">
    <cfRule type="expression" dxfId="19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1" max="16383" man="1"/>
  </rowBreaks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1706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NEW ENCOUNTERS  (003511RY)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"003511RY"</f>
        <v>003511RY</v>
      </c>
      <c r="E4" s="101" t="s">
        <v>37</v>
      </c>
      <c r="F4" s="105" t="str">
        <f>C4</f>
        <v>003511RY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1325</v>
      </c>
      <c r="E5" s="101" t="s">
        <v>36</v>
      </c>
      <c r="F5" s="112" t="s">
        <v>1324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1326</v>
      </c>
      <c r="E6" s="101" t="s">
        <v>38</v>
      </c>
      <c r="F6" s="105" t="s">
        <v>60</v>
      </c>
      <c r="G6" s="110" t="s">
        <v>737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A108389|A108389|A108389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ITPN-207492|ITPN-207493|ITPN-207492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1327</v>
      </c>
      <c r="E12" s="74" t="s">
        <v>1319</v>
      </c>
      <c r="F12" s="74" t="s">
        <v>1320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Pick"",""2"",""ITPN-207493"""</f>
        <v>"Ceres NTFB Live","NTFB Live","5766","1","Invt. Pick","2","ITPN-207493"</v>
      </c>
      <c r="E13" s="74" t="s">
        <v>1319</v>
      </c>
      <c r="F13" s="74" t="s">
        <v>1321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1319</v>
      </c>
      <c r="E14" s="74" t="str">
        <f>E12</f>
        <v>A108389</v>
      </c>
      <c r="F14" s="74" t="str">
        <f>F12</f>
        <v>ITPN-207492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1322</v>
      </c>
      <c r="F15" s="92" t="s">
        <v>1323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45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NEW ENCOUNTERS  (003511RY) - NO FRZ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003511RY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NEW ENCOUNTERS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1319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NAVARRO 1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189" priority="5" operator="equal">
      <formula>"DELIVER"</formula>
    </cfRule>
  </conditionalFormatting>
  <conditionalFormatting sqref="D29">
    <cfRule type="cellIs" dxfId="188" priority="4" operator="equal">
      <formula>"DELIVER"</formula>
    </cfRule>
  </conditionalFormatting>
  <conditionalFormatting sqref="D2:M2">
    <cfRule type="expression" dxfId="187" priority="3">
      <formula>$F$6="DELIVER"</formula>
    </cfRule>
  </conditionalFormatting>
  <conditionalFormatting sqref="G6">
    <cfRule type="expression" dxfId="186" priority="2">
      <formula>$F$6="DELIVER"</formula>
    </cfRule>
  </conditionalFormatting>
  <conditionalFormatting sqref="D38">
    <cfRule type="expression" dxfId="18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2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1708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IF(F35="","HIDESHEET","")</f>
        <v/>
      </c>
      <c r="C2" s="74" t="s">
        <v>7</v>
      </c>
      <c r="D2" s="181" t="str">
        <f>IF(E35="",F5&amp;"  ("&amp;F4&amp;") - NO "&amp;C34,F5&amp;"  ("&amp;F4&amp;") - "&amp;C34&amp;" PICK LIST")</f>
        <v>ESTATES AT GRAND PRAIRIE INC.  (003549RA) - FRZ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"003549RA"</f>
        <v>003549RA</v>
      </c>
      <c r="E4" s="101" t="s">
        <v>37</v>
      </c>
      <c r="F4" s="105" t="str">
        <f>C4</f>
        <v>003549RA</v>
      </c>
      <c r="K4" s="101" t="s">
        <v>42</v>
      </c>
      <c r="L4" s="104"/>
      <c r="M4" s="111">
        <f>SUM(I35:I43)</f>
        <v>18</v>
      </c>
    </row>
    <row r="5" spans="1:26" ht="18" customHeight="1" x14ac:dyDescent="0.25">
      <c r="B5" s="76" t="str">
        <f t="shared" si="0"/>
        <v>Show</v>
      </c>
      <c r="C5" s="109" t="s">
        <v>1331</v>
      </c>
      <c r="E5" s="101" t="s">
        <v>36</v>
      </c>
      <c r="F5" s="112" t="s">
        <v>1188</v>
      </c>
      <c r="K5" s="101" t="s">
        <v>43</v>
      </c>
      <c r="L5" s="104"/>
      <c r="M5" s="111">
        <f>ROUND(SUM(O35:O43),0)</f>
        <v>488</v>
      </c>
    </row>
    <row r="6" spans="1:26" ht="18" customHeight="1" x14ac:dyDescent="0.25">
      <c r="B6" s="76" t="str">
        <f t="shared" si="0"/>
        <v>Show</v>
      </c>
      <c r="C6" s="109" t="s">
        <v>1332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ROUND(COUNT(O35:O43),0)</f>
        <v>8</v>
      </c>
      <c r="P6" s="101"/>
      <c r="W6" s="101" t="str">
        <f>"ESTIMATED "&amp;O34&amp;"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E25</f>
        <v>A107954|A107954|A107954|A108008|A108008|A108008|A108230|A108259|A108259|A108336|A108418|A108435|A107954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F25</f>
        <v>ITPN-207433|ITPN-207434|ITPN-207435|ITPN-207437|ITPN-207439|ITPN-207440|ITPN-207454|ITPN-207463|ITPN-207464|ITPN-207469|ITPN-207503|ITPN-207504|ITPN-207433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B24</f>
        <v>Show</v>
      </c>
      <c r="C12" s="74" t="s">
        <v>1333</v>
      </c>
      <c r="E12" s="74" t="str">
        <f>"A107954"</f>
        <v>A107954</v>
      </c>
      <c r="F12" s="74" t="str">
        <f>"ITPN-207433"</f>
        <v>ITPN-207433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23" si="1">B25</f>
        <v>Show</v>
      </c>
      <c r="C13" s="74" t="str">
        <f>"""Ceres NTFB Live"",""NTFB Live"",""5766"",""1"",""Invt. Pick"",""2"",""ITPN-207434"""</f>
        <v>"Ceres NTFB Live","NTFB Live","5766","1","Invt. Pick","2","ITPN-207434"</v>
      </c>
      <c r="E13" s="74" t="str">
        <f>"A107954"</f>
        <v>A107954</v>
      </c>
      <c r="F13" s="74" t="str">
        <f>"ITPN-207434"</f>
        <v>ITPN-207434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Pick"",""2"",""ITPN-207435"""</f>
        <v>"Ceres NTFB Live","NTFB Live","5766","1","Invt. Pick","2","ITPN-207435"</v>
      </c>
      <c r="E14" s="74" t="str">
        <f>"A107954"</f>
        <v>A107954</v>
      </c>
      <c r="F14" s="74" t="str">
        <f>"ITPN-207435"</f>
        <v>ITPN-207435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173</v>
      </c>
      <c r="B15" s="76" t="str">
        <f t="shared" si="1"/>
        <v>Show</v>
      </c>
      <c r="C15" s="74" t="str">
        <f>"""Ceres NTFB Live"",""NTFB Live"",""5766"",""1"",""Invt. Pick"",""2"",""ITPN-207437"""</f>
        <v>"Ceres NTFB Live","NTFB Live","5766","1","Invt. Pick","2","ITPN-207437"</v>
      </c>
      <c r="E15" s="74" t="str">
        <f>"A108008"</f>
        <v>A108008</v>
      </c>
      <c r="F15" s="74" t="str">
        <f>"ITPN-207437"</f>
        <v>ITPN-207437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173</v>
      </c>
      <c r="B16" s="76" t="str">
        <f t="shared" si="1"/>
        <v>Show</v>
      </c>
      <c r="C16" s="74" t="str">
        <f>"""Ceres NTFB Live"",""NTFB Live"",""5766"",""1"",""Invt. Pick"",""2"",""ITPN-207439"""</f>
        <v>"Ceres NTFB Live","NTFB Live","5766","1","Invt. Pick","2","ITPN-207439"</v>
      </c>
      <c r="E16" s="74" t="str">
        <f>"A108008"</f>
        <v>A108008</v>
      </c>
      <c r="F16" s="74" t="str">
        <f>"ITPN-207439"</f>
        <v>ITPN-207439</v>
      </c>
      <c r="I16" s="98"/>
      <c r="J16" s="98"/>
      <c r="K16" s="98"/>
      <c r="L16" s="98"/>
      <c r="M16" s="98"/>
    </row>
    <row r="17" spans="1:13" ht="15.75" hidden="1" thickBot="1" x14ac:dyDescent="0.3">
      <c r="A17" s="74" t="s">
        <v>173</v>
      </c>
      <c r="B17" s="76" t="str">
        <f t="shared" si="1"/>
        <v>Show</v>
      </c>
      <c r="C17" s="74" t="str">
        <f>"""Ceres NTFB Live"",""NTFB Live"",""5766"",""1"",""Invt. Pick"",""2"",""ITPN-207440"""</f>
        <v>"Ceres NTFB Live","NTFB Live","5766","1","Invt. Pick","2","ITPN-207440"</v>
      </c>
      <c r="E17" s="74" t="str">
        <f>"A108008"</f>
        <v>A108008</v>
      </c>
      <c r="F17" s="74" t="str">
        <f>"ITPN-207440"</f>
        <v>ITPN-207440</v>
      </c>
      <c r="I17" s="98"/>
      <c r="J17" s="98"/>
      <c r="K17" s="98"/>
      <c r="L17" s="98"/>
      <c r="M17" s="98"/>
    </row>
    <row r="18" spans="1:13" ht="15.75" hidden="1" thickBot="1" x14ac:dyDescent="0.3">
      <c r="A18" s="74" t="s">
        <v>173</v>
      </c>
      <c r="B18" s="76" t="str">
        <f t="shared" si="1"/>
        <v>Show</v>
      </c>
      <c r="C18" s="74" t="str">
        <f>"""Ceres NTFB Live"",""NTFB Live"",""5766"",""1"",""Invt. Pick"",""2"",""ITPN-207454"""</f>
        <v>"Ceres NTFB Live","NTFB Live","5766","1","Invt. Pick","2","ITPN-207454"</v>
      </c>
      <c r="E18" s="74" t="str">
        <f>"A108230"</f>
        <v>A108230</v>
      </c>
      <c r="F18" s="74" t="str">
        <f>"ITPN-207454"</f>
        <v>ITPN-207454</v>
      </c>
      <c r="I18" s="98"/>
      <c r="J18" s="98"/>
      <c r="K18" s="98"/>
      <c r="L18" s="98"/>
      <c r="M18" s="98"/>
    </row>
    <row r="19" spans="1:13" ht="15.75" hidden="1" thickBot="1" x14ac:dyDescent="0.3">
      <c r="A19" s="74" t="s">
        <v>173</v>
      </c>
      <c r="B19" s="76" t="str">
        <f t="shared" si="1"/>
        <v>Show</v>
      </c>
      <c r="C19" s="74" t="str">
        <f>"""Ceres NTFB Live"",""NTFB Live"",""5766"",""1"",""Invt. Pick"",""2"",""ITPN-207463"""</f>
        <v>"Ceres NTFB Live","NTFB Live","5766","1","Invt. Pick","2","ITPN-207463"</v>
      </c>
      <c r="E19" s="74" t="str">
        <f>"A108259"</f>
        <v>A108259</v>
      </c>
      <c r="F19" s="74" t="str">
        <f>"ITPN-207463"</f>
        <v>ITPN-207463</v>
      </c>
      <c r="I19" s="98"/>
      <c r="J19" s="98"/>
      <c r="K19" s="98"/>
      <c r="L19" s="98"/>
      <c r="M19" s="98"/>
    </row>
    <row r="20" spans="1:13" ht="15.75" hidden="1" thickBot="1" x14ac:dyDescent="0.3">
      <c r="A20" s="74" t="s">
        <v>173</v>
      </c>
      <c r="B20" s="76" t="str">
        <f t="shared" si="1"/>
        <v>Show</v>
      </c>
      <c r="C20" s="74" t="str">
        <f>"""Ceres NTFB Live"",""NTFB Live"",""5766"",""1"",""Invt. Pick"",""2"",""ITPN-207464"""</f>
        <v>"Ceres NTFB Live","NTFB Live","5766","1","Invt. Pick","2","ITPN-207464"</v>
      </c>
      <c r="E20" s="74" t="str">
        <f>"A108259"</f>
        <v>A108259</v>
      </c>
      <c r="F20" s="74" t="str">
        <f>"ITPN-207464"</f>
        <v>ITPN-207464</v>
      </c>
      <c r="I20" s="98"/>
      <c r="J20" s="98"/>
      <c r="K20" s="98"/>
      <c r="L20" s="98"/>
      <c r="M20" s="98"/>
    </row>
    <row r="21" spans="1:13" ht="15.75" hidden="1" thickBot="1" x14ac:dyDescent="0.3">
      <c r="A21" s="74" t="s">
        <v>173</v>
      </c>
      <c r="B21" s="76" t="str">
        <f t="shared" si="1"/>
        <v>Show</v>
      </c>
      <c r="C21" s="74" t="str">
        <f>"""Ceres NTFB Live"",""NTFB Live"",""5766"",""1"",""Invt. Pick"",""2"",""ITPN-207469"""</f>
        <v>"Ceres NTFB Live","NTFB Live","5766","1","Invt. Pick","2","ITPN-207469"</v>
      </c>
      <c r="E21" s="74" t="str">
        <f>"A108336"</f>
        <v>A108336</v>
      </c>
      <c r="F21" s="74" t="str">
        <f>"ITPN-207469"</f>
        <v>ITPN-207469</v>
      </c>
      <c r="I21" s="98"/>
      <c r="J21" s="98"/>
      <c r="K21" s="98"/>
      <c r="L21" s="98"/>
      <c r="M21" s="98"/>
    </row>
    <row r="22" spans="1:13" ht="15.75" hidden="1" thickBot="1" x14ac:dyDescent="0.3">
      <c r="A22" s="74" t="s">
        <v>173</v>
      </c>
      <c r="B22" s="76" t="str">
        <f t="shared" si="1"/>
        <v>Show</v>
      </c>
      <c r="C22" s="74" t="str">
        <f>"""Ceres NTFB Live"",""NTFB Live"",""5766"",""1"",""Invt. Pick"",""2"",""ITPN-207503"""</f>
        <v>"Ceres NTFB Live","NTFB Live","5766","1","Invt. Pick","2","ITPN-207503"</v>
      </c>
      <c r="E22" s="74" t="str">
        <f>"A108418"</f>
        <v>A108418</v>
      </c>
      <c r="F22" s="74" t="str">
        <f>"ITPN-207503"</f>
        <v>ITPN-207503</v>
      </c>
      <c r="I22" s="98"/>
      <c r="J22" s="98"/>
      <c r="K22" s="98"/>
      <c r="L22" s="98"/>
      <c r="M22" s="98"/>
    </row>
    <row r="23" spans="1:13" ht="15.75" hidden="1" thickBot="1" x14ac:dyDescent="0.3">
      <c r="A23" s="74" t="s">
        <v>173</v>
      </c>
      <c r="B23" s="76" t="str">
        <f t="shared" si="1"/>
        <v>Show</v>
      </c>
      <c r="C23" s="74" t="str">
        <f>"""Ceres NTFB Live"",""NTFB Live"",""5766"",""1"",""Invt. Pick"",""2"",""ITPN-207504"""</f>
        <v>"Ceres NTFB Live","NTFB Live","5766","1","Invt. Pick","2","ITPN-207504"</v>
      </c>
      <c r="E23" s="74" t="str">
        <f>"A108435"</f>
        <v>A108435</v>
      </c>
      <c r="F23" s="74" t="str">
        <f>"ITPN-207504"</f>
        <v>ITPN-207504</v>
      </c>
      <c r="I23" s="98"/>
      <c r="J23" s="98"/>
      <c r="K23" s="98"/>
      <c r="L23" s="98"/>
      <c r="M23" s="98"/>
    </row>
    <row r="24" spans="1:13" ht="15.75" hidden="1" thickBot="1" x14ac:dyDescent="0.3">
      <c r="A24" s="74" t="s">
        <v>6</v>
      </c>
      <c r="B24" s="76" t="str">
        <f t="shared" ref="B24:B34" si="2">B25</f>
        <v>Show</v>
      </c>
      <c r="C24" s="74" t="s">
        <v>1334</v>
      </c>
      <c r="E24" s="74" t="str">
        <f>E12</f>
        <v>A107954</v>
      </c>
      <c r="F24" s="74" t="str">
        <f>F12</f>
        <v>ITPN-207433</v>
      </c>
      <c r="I24" s="98"/>
      <c r="J24" s="98"/>
      <c r="K24" s="98"/>
      <c r="L24" s="98"/>
      <c r="M24" s="98"/>
    </row>
    <row r="25" spans="1:13" ht="15.75" hidden="1" thickBot="1" x14ac:dyDescent="0.3">
      <c r="A25" s="74" t="s">
        <v>6</v>
      </c>
      <c r="B25" s="76" t="str">
        <f t="shared" si="2"/>
        <v>Show</v>
      </c>
      <c r="E25" s="92" t="s">
        <v>1795</v>
      </c>
      <c r="F25" s="92" t="s">
        <v>1794</v>
      </c>
      <c r="I25" s="98"/>
      <c r="J25" s="98"/>
      <c r="K25" s="98"/>
      <c r="L25" s="98"/>
      <c r="M25" s="98"/>
    </row>
    <row r="26" spans="1:13" x14ac:dyDescent="0.25">
      <c r="B26" s="76" t="str">
        <f t="shared" si="2"/>
        <v>Show</v>
      </c>
      <c r="E26" s="101" t="s">
        <v>20</v>
      </c>
      <c r="F26" s="184" t="s">
        <v>179</v>
      </c>
      <c r="G26" s="185"/>
      <c r="H26" s="185"/>
      <c r="I26" s="185"/>
      <c r="J26" s="185"/>
      <c r="K26" s="185"/>
      <c r="L26" s="185"/>
      <c r="M26" s="186"/>
    </row>
    <row r="27" spans="1:13" x14ac:dyDescent="0.25">
      <c r="B27" s="76" t="str">
        <f t="shared" si="2"/>
        <v>Show</v>
      </c>
      <c r="F27" s="187"/>
      <c r="G27" s="188"/>
      <c r="H27" s="188"/>
      <c r="I27" s="188"/>
      <c r="J27" s="188"/>
      <c r="K27" s="188"/>
      <c r="L27" s="188"/>
      <c r="M27" s="189"/>
    </row>
    <row r="28" spans="1:13" ht="15.75" thickBot="1" x14ac:dyDescent="0.3">
      <c r="B28" s="76" t="str">
        <f t="shared" si="2"/>
        <v>Show</v>
      </c>
      <c r="F28" s="190"/>
      <c r="G28" s="191"/>
      <c r="H28" s="191"/>
      <c r="I28" s="191"/>
      <c r="J28" s="191"/>
      <c r="K28" s="191"/>
      <c r="L28" s="191"/>
      <c r="M28" s="192"/>
    </row>
    <row r="29" spans="1:13" x14ac:dyDescent="0.25">
      <c r="B29" s="76" t="str">
        <f t="shared" si="2"/>
        <v>Show</v>
      </c>
    </row>
    <row r="30" spans="1:13" x14ac:dyDescent="0.25">
      <c r="B30" s="76" t="str">
        <f t="shared" si="2"/>
        <v>Show</v>
      </c>
      <c r="E30" s="101" t="s">
        <v>33</v>
      </c>
      <c r="F30" s="100"/>
      <c r="G30" s="102"/>
      <c r="H30" s="101" t="s">
        <v>53</v>
      </c>
      <c r="I30" s="100"/>
      <c r="J30" s="100"/>
      <c r="K30" s="100"/>
    </row>
    <row r="31" spans="1:13" x14ac:dyDescent="0.25">
      <c r="B31" s="76" t="str">
        <f t="shared" si="2"/>
        <v>Show</v>
      </c>
      <c r="E31" s="101"/>
    </row>
    <row r="32" spans="1:13" x14ac:dyDescent="0.25">
      <c r="B32" s="76" t="str">
        <f t="shared" si="2"/>
        <v>Show</v>
      </c>
      <c r="E32" s="101" t="s">
        <v>32</v>
      </c>
      <c r="F32" s="100"/>
      <c r="G32" s="102"/>
      <c r="H32" s="101" t="s">
        <v>54</v>
      </c>
      <c r="I32" s="100"/>
      <c r="J32" s="100"/>
      <c r="K32" s="100"/>
    </row>
    <row r="33" spans="1:17" x14ac:dyDescent="0.25">
      <c r="B33" s="76" t="str">
        <f t="shared" si="2"/>
        <v>Show</v>
      </c>
      <c r="C33" s="74" t="s">
        <v>52</v>
      </c>
      <c r="D33" s="74" t="s">
        <v>52</v>
      </c>
      <c r="F33" s="99"/>
      <c r="I33" s="98"/>
      <c r="J33" s="98"/>
      <c r="K33" s="98"/>
      <c r="L33" s="98"/>
      <c r="M33" s="98"/>
    </row>
    <row r="34" spans="1:17" s="75" customFormat="1" ht="15.95" customHeight="1" x14ac:dyDescent="0.25">
      <c r="A34" s="97"/>
      <c r="B34" s="76" t="str">
        <f t="shared" si="2"/>
        <v>Show</v>
      </c>
      <c r="C34" s="117" t="s">
        <v>45</v>
      </c>
      <c r="D34" s="94" t="s">
        <v>28</v>
      </c>
      <c r="E34" s="94" t="s">
        <v>26</v>
      </c>
      <c r="F34" s="94" t="s">
        <v>29</v>
      </c>
      <c r="G34" s="94" t="s">
        <v>57</v>
      </c>
      <c r="H34" s="94" t="s">
        <v>27</v>
      </c>
      <c r="I34" s="94" t="s">
        <v>25</v>
      </c>
      <c r="J34" s="94" t="s">
        <v>10</v>
      </c>
      <c r="K34" s="94" t="s">
        <v>24</v>
      </c>
      <c r="L34" s="95"/>
      <c r="M34" s="94" t="s">
        <v>31</v>
      </c>
      <c r="N34" s="93" t="s">
        <v>21</v>
      </c>
      <c r="O34" s="93" t="s">
        <v>22</v>
      </c>
      <c r="P34" s="93" t="s">
        <v>23</v>
      </c>
      <c r="Q34" s="93"/>
    </row>
    <row r="35" spans="1:17" ht="24.95" customHeight="1" x14ac:dyDescent="0.25">
      <c r="B35" s="92" t="str">
        <f>IF(I35="","Hide","Show")</f>
        <v>Show</v>
      </c>
      <c r="C35" s="74" t="s">
        <v>1809</v>
      </c>
      <c r="D35" s="89" t="str">
        <f>"52-21-01"</f>
        <v>52-21-01</v>
      </c>
      <c r="E35" s="89" t="str">
        <f>"P00192731"</f>
        <v>P00192731</v>
      </c>
      <c r="F35" s="89" t="str">
        <f>"1000003621"</f>
        <v>1000003621</v>
      </c>
      <c r="G35" s="91" t="s">
        <v>1803</v>
      </c>
      <c r="H35" s="90" t="str">
        <f>"PIE CRUST, FROZEN"</f>
        <v>PIE CRUST, FROZEN</v>
      </c>
      <c r="I35" s="89">
        <v>2</v>
      </c>
      <c r="J35" s="89" t="str">
        <f t="shared" ref="J35:J42" si="3">"CS"</f>
        <v>CS</v>
      </c>
      <c r="K35" s="88"/>
      <c r="L35" s="87"/>
      <c r="M35" s="87"/>
      <c r="N35" s="85" t="s">
        <v>179</v>
      </c>
      <c r="O35" s="85">
        <v>24</v>
      </c>
      <c r="P35" s="85" t="str">
        <f t="shared" ref="P35:P42" si="4">"FRZ"</f>
        <v>FRZ</v>
      </c>
      <c r="Q35" s="86" t="s">
        <v>56</v>
      </c>
    </row>
    <row r="36" spans="1:17" ht="24.95" customHeight="1" x14ac:dyDescent="0.25">
      <c r="A36" s="74" t="s">
        <v>174</v>
      </c>
      <c r="B36" s="92" t="str">
        <f t="shared" ref="B36:B42" si="5">IF(I36="","Hide","Show")</f>
        <v>Show</v>
      </c>
      <c r="C36" s="74" t="str">
        <f>"""Ceres NTFB Live"",""NTFB Live"",""5767"",""1"",""Invt. Pick"",""2"",""ITPN-207433"",""3"",""20000"""</f>
        <v>"Ceres NTFB Live","NTFB Live","5767","1","Invt. Pick","2","ITPN-207433","3","20000"</v>
      </c>
      <c r="D36" s="89" t="str">
        <f>"52-25-01"</f>
        <v>52-25-01</v>
      </c>
      <c r="E36" s="89" t="str">
        <f>"P00192169"</f>
        <v>P00192169</v>
      </c>
      <c r="F36" s="89" t="str">
        <f>"1000002957"</f>
        <v>1000002957</v>
      </c>
      <c r="G36" s="91" t="s">
        <v>1804</v>
      </c>
      <c r="H36" s="90" t="str">
        <f>"CHEESE, ASSORTED, FROZEN"</f>
        <v>CHEESE, ASSORTED, FROZEN</v>
      </c>
      <c r="I36" s="89">
        <v>1</v>
      </c>
      <c r="J36" s="89" t="str">
        <f t="shared" si="3"/>
        <v>CS</v>
      </c>
      <c r="K36" s="88"/>
      <c r="L36" s="87"/>
      <c r="M36" s="87"/>
      <c r="N36" s="85" t="s">
        <v>179</v>
      </c>
      <c r="O36" s="85">
        <v>30</v>
      </c>
      <c r="P36" s="85" t="str">
        <f t="shared" si="4"/>
        <v>FRZ</v>
      </c>
      <c r="Q36" s="86" t="s">
        <v>56</v>
      </c>
    </row>
    <row r="37" spans="1:17" ht="24.95" customHeight="1" x14ac:dyDescent="0.25">
      <c r="A37" s="74" t="s">
        <v>174</v>
      </c>
      <c r="B37" s="92" t="str">
        <f t="shared" si="5"/>
        <v>Show</v>
      </c>
      <c r="C37" s="74" t="str">
        <f>"""Ceres NTFB Live"",""NTFB Live"",""5767"",""1"",""Invt. Pick"",""2"",""ITPN-207504"",""3"",""20000"""</f>
        <v>"Ceres NTFB Live","NTFB Live","5767","1","Invt. Pick","2","ITPN-207504","3","20000"</v>
      </c>
      <c r="D37" s="89" t="str">
        <f>"53-03-01"</f>
        <v>53-03-01</v>
      </c>
      <c r="E37" s="89" t="str">
        <f>"P00193077"</f>
        <v>P00193077</v>
      </c>
      <c r="F37" s="89" t="str">
        <f>"1000003644"</f>
        <v>1000003644</v>
      </c>
      <c r="G37" s="91" t="s">
        <v>1805</v>
      </c>
      <c r="H37" s="90" t="str">
        <f>"CHICKEN, WHOLE, ROTISSERIE SEASONED"</f>
        <v>CHICKEN, WHOLE, ROTISSERIE SEASONED</v>
      </c>
      <c r="I37" s="89">
        <v>2</v>
      </c>
      <c r="J37" s="89" t="str">
        <f t="shared" si="3"/>
        <v>CS</v>
      </c>
      <c r="K37" s="88"/>
      <c r="L37" s="87"/>
      <c r="M37" s="87"/>
      <c r="N37" s="85" t="s">
        <v>179</v>
      </c>
      <c r="O37" s="85">
        <v>108</v>
      </c>
      <c r="P37" s="85" t="str">
        <f t="shared" si="4"/>
        <v>FRZ</v>
      </c>
      <c r="Q37" s="86" t="s">
        <v>56</v>
      </c>
    </row>
    <row r="38" spans="1:17" ht="24.95" customHeight="1" x14ac:dyDescent="0.25">
      <c r="A38" s="74" t="s">
        <v>174</v>
      </c>
      <c r="B38" s="92" t="str">
        <f t="shared" si="5"/>
        <v>Show</v>
      </c>
      <c r="C38" s="74" t="str">
        <f>"""Ceres NTFB Live"",""NTFB Live"",""5767"",""1"",""Invt. Pick"",""2"",""ITPN-207463"",""3"",""20000"""</f>
        <v>"Ceres NTFB Live","NTFB Live","5767","1","Invt. Pick","2","ITPN-207463","3","20000"</v>
      </c>
      <c r="D38" s="89" t="str">
        <f>"53-04-01"</f>
        <v>53-04-01</v>
      </c>
      <c r="E38" s="89" t="str">
        <f>"P00191139"</f>
        <v>P00191139</v>
      </c>
      <c r="F38" s="89" t="str">
        <f>"1000001611"</f>
        <v>1000001611</v>
      </c>
      <c r="G38" s="91" t="s">
        <v>1806</v>
      </c>
      <c r="H38" s="90" t="str">
        <f>"BEEF, ASSORTED MEAT BOX, FROZEN"</f>
        <v>BEEF, ASSORTED MEAT BOX, FROZEN</v>
      </c>
      <c r="I38" s="89">
        <v>4</v>
      </c>
      <c r="J38" s="89" t="str">
        <f t="shared" si="3"/>
        <v>CS</v>
      </c>
      <c r="K38" s="88"/>
      <c r="L38" s="87"/>
      <c r="M38" s="87"/>
      <c r="N38" s="85" t="s">
        <v>179</v>
      </c>
      <c r="O38" s="85">
        <v>96</v>
      </c>
      <c r="P38" s="85" t="str">
        <f t="shared" si="4"/>
        <v>FRZ</v>
      </c>
      <c r="Q38" s="86" t="s">
        <v>56</v>
      </c>
    </row>
    <row r="39" spans="1:17" ht="24.95" customHeight="1" x14ac:dyDescent="0.25">
      <c r="A39" s="74" t="s">
        <v>174</v>
      </c>
      <c r="B39" s="92" t="str">
        <f t="shared" si="5"/>
        <v>Show</v>
      </c>
      <c r="C39" s="74" t="str">
        <f>"""Ceres NTFB Live"",""NTFB Live"",""5767"",""1"",""Invt. Pick"",""2"",""ITPN-207469"",""3"",""20000"""</f>
        <v>"Ceres NTFB Live","NTFB Live","5767","1","Invt. Pick","2","ITPN-207469","3","20000"</v>
      </c>
      <c r="D39" s="89" t="str">
        <f>"53-14-01"</f>
        <v>53-14-01</v>
      </c>
      <c r="E39" s="89" t="str">
        <f>"P00194005"</f>
        <v>P00194005</v>
      </c>
      <c r="F39" s="89" t="str">
        <f>"1000003668"</f>
        <v>1000003668</v>
      </c>
      <c r="G39" s="91" t="s">
        <v>1807</v>
      </c>
      <c r="H39" s="90" t="str">
        <f>"CHICKEN BREAST, THIN SLICED SKINLESS , FROZEN"</f>
        <v>CHICKEN BREAST, THIN SLICED SKINLESS , FROZEN</v>
      </c>
      <c r="I39" s="89">
        <v>1</v>
      </c>
      <c r="J39" s="89" t="str">
        <f t="shared" si="3"/>
        <v>CS</v>
      </c>
      <c r="K39" s="88"/>
      <c r="L39" s="87"/>
      <c r="M39" s="87"/>
      <c r="N39" s="85" t="s">
        <v>179</v>
      </c>
      <c r="O39" s="85">
        <v>14</v>
      </c>
      <c r="P39" s="85" t="str">
        <f t="shared" si="4"/>
        <v>FRZ</v>
      </c>
      <c r="Q39" s="86" t="s">
        <v>56</v>
      </c>
    </row>
    <row r="40" spans="1:17" ht="24.95" customHeight="1" x14ac:dyDescent="0.25">
      <c r="A40" s="74" t="s">
        <v>174</v>
      </c>
      <c r="B40" s="92" t="str">
        <f t="shared" si="5"/>
        <v>Show</v>
      </c>
      <c r="C40" s="74" t="str">
        <f>"""Ceres NTFB Live"",""NTFB Live"",""5767"",""1"",""Invt. Pick"",""2"",""ITPN-207469"",""3"",""40000"""</f>
        <v>"Ceres NTFB Live","NTFB Live","5767","1","Invt. Pick","2","ITPN-207469","3","40000"</v>
      </c>
      <c r="D40" s="89" t="str">
        <f>"53-20-01"</f>
        <v>53-20-01</v>
      </c>
      <c r="E40" s="89" t="str">
        <f>"P00194000"</f>
        <v>P00194000</v>
      </c>
      <c r="F40" s="89" t="str">
        <f>"1000003663"</f>
        <v>1000003663</v>
      </c>
      <c r="G40" s="91" t="s">
        <v>1807</v>
      </c>
      <c r="H40" s="90" t="str">
        <f>"CHICKEN, WING PORTIONS, FROZEN"</f>
        <v>CHICKEN, WING PORTIONS, FROZEN</v>
      </c>
      <c r="I40" s="89">
        <v>2</v>
      </c>
      <c r="J40" s="89" t="str">
        <f t="shared" si="3"/>
        <v>CS</v>
      </c>
      <c r="K40" s="88"/>
      <c r="L40" s="87"/>
      <c r="M40" s="87"/>
      <c r="N40" s="85" t="s">
        <v>179</v>
      </c>
      <c r="O40" s="85">
        <v>58</v>
      </c>
      <c r="P40" s="85" t="str">
        <f t="shared" si="4"/>
        <v>FRZ</v>
      </c>
      <c r="Q40" s="86" t="s">
        <v>56</v>
      </c>
    </row>
    <row r="41" spans="1:17" ht="24.95" customHeight="1" x14ac:dyDescent="0.25">
      <c r="A41" s="74" t="s">
        <v>174</v>
      </c>
      <c r="B41" s="92" t="str">
        <f t="shared" si="5"/>
        <v>Show</v>
      </c>
      <c r="C41" s="74" t="str">
        <f>"""Ceres NTFB Live"",""NTFB Live"",""5767"",""1"",""Invt. Pick"",""2"",""ITPN-207503"",""3"",""40000"""</f>
        <v>"Ceres NTFB Live","NTFB Live","5767","1","Invt. Pick","2","ITPN-207503","3","40000"</v>
      </c>
      <c r="D41" s="89" t="str">
        <f>"53-24-01"</f>
        <v>53-24-01</v>
      </c>
      <c r="E41" s="89" t="str">
        <f>"P00194001"</f>
        <v>P00194001</v>
      </c>
      <c r="F41" s="89" t="str">
        <f>"1000003664"</f>
        <v>1000003664</v>
      </c>
      <c r="G41" s="91" t="s">
        <v>1808</v>
      </c>
      <c r="H41" s="90" t="str">
        <f>"CHICKEN, WHOLE WINGS, FROZEN"</f>
        <v>CHICKEN, WHOLE WINGS, FROZEN</v>
      </c>
      <c r="I41" s="89">
        <v>2</v>
      </c>
      <c r="J41" s="89" t="str">
        <f t="shared" si="3"/>
        <v>CS</v>
      </c>
      <c r="K41" s="88"/>
      <c r="L41" s="87"/>
      <c r="M41" s="87"/>
      <c r="N41" s="85" t="s">
        <v>179</v>
      </c>
      <c r="O41" s="85">
        <v>38</v>
      </c>
      <c r="P41" s="85" t="str">
        <f t="shared" si="4"/>
        <v>FRZ</v>
      </c>
      <c r="Q41" s="86" t="s">
        <v>56</v>
      </c>
    </row>
    <row r="42" spans="1:17" ht="24.95" customHeight="1" x14ac:dyDescent="0.25">
      <c r="A42" s="74" t="s">
        <v>174</v>
      </c>
      <c r="B42" s="92" t="str">
        <f t="shared" si="5"/>
        <v>Show</v>
      </c>
      <c r="C42" s="74" t="str">
        <f>"""Ceres NTFB Live"",""NTFB Live"",""5767"",""1"",""Invt. Pick"",""2"",""ITPN-207504"",""3"",""40000"""</f>
        <v>"Ceres NTFB Live","NTFB Live","5767","1","Invt. Pick","2","ITPN-207504","3","40000"</v>
      </c>
      <c r="D42" s="89" t="str">
        <f>"53-28-01"</f>
        <v>53-28-01</v>
      </c>
      <c r="E42" s="89" t="str">
        <f>"P00194002"</f>
        <v>P00194002</v>
      </c>
      <c r="F42" s="89" t="str">
        <f>"1000003665"</f>
        <v>1000003665</v>
      </c>
      <c r="G42" s="91" t="s">
        <v>1805</v>
      </c>
      <c r="H42" s="90" t="str">
        <f>"CHICKEN, WING DRUMMETTES, FROZEN"</f>
        <v>CHICKEN, WING DRUMMETTES, FROZEN</v>
      </c>
      <c r="I42" s="89">
        <v>4</v>
      </c>
      <c r="J42" s="89" t="str">
        <f t="shared" si="3"/>
        <v>CS</v>
      </c>
      <c r="K42" s="88"/>
      <c r="L42" s="87"/>
      <c r="M42" s="87"/>
      <c r="N42" s="85" t="s">
        <v>179</v>
      </c>
      <c r="O42" s="85">
        <v>120</v>
      </c>
      <c r="P42" s="85" t="str">
        <f t="shared" si="4"/>
        <v>FRZ</v>
      </c>
      <c r="Q42" s="86" t="s">
        <v>56</v>
      </c>
    </row>
    <row r="43" spans="1:17" ht="15.75" thickBot="1" x14ac:dyDescent="0.3">
      <c r="B43" s="74" t="str">
        <f>B35</f>
        <v>Show</v>
      </c>
      <c r="H43" s="85"/>
      <c r="I43" s="85"/>
    </row>
    <row r="44" spans="1:17" ht="15.75" thickBot="1" x14ac:dyDescent="0.3">
      <c r="B44" s="74" t="str">
        <f>+B43</f>
        <v>Show</v>
      </c>
      <c r="D44" s="193" t="str">
        <f>+"END OF "&amp;D2</f>
        <v>END OF ESTATES AT GRAND PRAIRIE INC.  (003549RA) - FRZ PICK LIST</v>
      </c>
      <c r="E44" s="194"/>
      <c r="F44" s="194"/>
      <c r="G44" s="194"/>
      <c r="H44" s="194"/>
      <c r="I44" s="194"/>
      <c r="J44" s="194"/>
      <c r="K44" s="194"/>
      <c r="L44" s="194"/>
      <c r="M44" s="195"/>
    </row>
    <row r="45" spans="1:17" ht="15.75" thickBot="1" x14ac:dyDescent="0.3"/>
    <row r="46" spans="1:17" ht="80.099999999999994" customHeight="1" thickBot="1" x14ac:dyDescent="0.3">
      <c r="A46" s="76" t="s">
        <v>30</v>
      </c>
      <c r="D46" s="166" t="str">
        <f>+F6</f>
        <v>PICKUP</v>
      </c>
      <c r="E46" s="167"/>
      <c r="F46" s="167"/>
      <c r="G46" s="167"/>
      <c r="H46" s="167"/>
      <c r="I46" s="167"/>
      <c r="J46" s="167"/>
      <c r="K46" s="167"/>
      <c r="L46" s="167"/>
      <c r="M46" s="168"/>
    </row>
    <row r="47" spans="1:17" ht="36.75" x14ac:dyDescent="0.45">
      <c r="A47" s="76" t="s">
        <v>30</v>
      </c>
      <c r="D47" s="176" t="s">
        <v>12</v>
      </c>
      <c r="E47" s="177"/>
      <c r="F47" s="196" t="str">
        <f>+F4</f>
        <v>003549RA</v>
      </c>
      <c r="G47" s="196"/>
      <c r="H47" s="196"/>
      <c r="I47" s="196"/>
      <c r="J47" s="196"/>
      <c r="K47" s="196"/>
      <c r="L47" s="196"/>
      <c r="M47" s="197"/>
    </row>
    <row r="48" spans="1:17" ht="37.5" customHeight="1" thickBot="1" x14ac:dyDescent="0.5">
      <c r="A48" s="76" t="s">
        <v>30</v>
      </c>
      <c r="D48" s="158" t="s">
        <v>5</v>
      </c>
      <c r="E48" s="159"/>
      <c r="F48" s="161" t="str">
        <f>+F5</f>
        <v>ESTATES AT GRAND PRAIRIE INC.</v>
      </c>
      <c r="G48" s="161"/>
      <c r="H48" s="161"/>
      <c r="I48" s="161"/>
      <c r="J48" s="161"/>
      <c r="K48" s="161"/>
      <c r="L48" s="161"/>
      <c r="M48" s="162"/>
      <c r="N48" s="84"/>
      <c r="O48" s="84"/>
      <c r="P48" s="84"/>
    </row>
    <row r="49" spans="1:13" ht="33.75" hidden="1" thickBot="1" x14ac:dyDescent="0.45">
      <c r="A49" s="76" t="s">
        <v>19</v>
      </c>
      <c r="D49" s="172" t="s">
        <v>49</v>
      </c>
      <c r="E49" s="173"/>
      <c r="F49" s="82"/>
      <c r="G49" s="83"/>
      <c r="H49" s="82"/>
      <c r="I49" s="82"/>
      <c r="J49" s="82"/>
      <c r="K49" s="82"/>
      <c r="L49" s="82"/>
      <c r="M49" s="81"/>
    </row>
    <row r="50" spans="1:13" ht="30" hidden="1" customHeight="1" x14ac:dyDescent="0.25">
      <c r="A50" s="76" t="s">
        <v>19</v>
      </c>
      <c r="D50" s="80"/>
      <c r="E50" s="78"/>
      <c r="F50" s="174" t="s">
        <v>1334</v>
      </c>
      <c r="G50" s="174"/>
      <c r="H50" s="174"/>
      <c r="I50" s="174"/>
      <c r="J50" s="174"/>
      <c r="K50" s="174"/>
      <c r="L50" s="174"/>
      <c r="M50" s="175"/>
    </row>
    <row r="51" spans="1:13" ht="30" hidden="1" customHeight="1" x14ac:dyDescent="0.25">
      <c r="A51" s="76" t="s">
        <v>184</v>
      </c>
      <c r="D51" s="80"/>
      <c r="E51" s="78"/>
      <c r="F51" s="174" t="str">
        <f>"A108008"</f>
        <v>A108008</v>
      </c>
      <c r="G51" s="174"/>
      <c r="H51" s="174"/>
      <c r="I51" s="174"/>
      <c r="J51" s="174"/>
      <c r="K51" s="174"/>
      <c r="L51" s="174"/>
      <c r="M51" s="175"/>
    </row>
    <row r="52" spans="1:13" ht="30" hidden="1" customHeight="1" x14ac:dyDescent="0.25">
      <c r="A52" s="76" t="s">
        <v>184</v>
      </c>
      <c r="D52" s="80"/>
      <c r="E52" s="78"/>
      <c r="F52" s="174" t="str">
        <f>"A108230"</f>
        <v>A108230</v>
      </c>
      <c r="G52" s="174"/>
      <c r="H52" s="174"/>
      <c r="I52" s="174"/>
      <c r="J52" s="174"/>
      <c r="K52" s="174"/>
      <c r="L52" s="174"/>
      <c r="M52" s="175"/>
    </row>
    <row r="53" spans="1:13" ht="30" hidden="1" customHeight="1" x14ac:dyDescent="0.25">
      <c r="A53" s="76" t="s">
        <v>184</v>
      </c>
      <c r="D53" s="80"/>
      <c r="E53" s="78"/>
      <c r="F53" s="174" t="str">
        <f>"A108259"</f>
        <v>A108259</v>
      </c>
      <c r="G53" s="174"/>
      <c r="H53" s="174"/>
      <c r="I53" s="174"/>
      <c r="J53" s="174"/>
      <c r="K53" s="174"/>
      <c r="L53" s="174"/>
      <c r="M53" s="175"/>
    </row>
    <row r="54" spans="1:13" ht="30" hidden="1" customHeight="1" x14ac:dyDescent="0.25">
      <c r="A54" s="76" t="s">
        <v>184</v>
      </c>
      <c r="D54" s="80"/>
      <c r="E54" s="78"/>
      <c r="F54" s="174" t="str">
        <f>"A108336"</f>
        <v>A108336</v>
      </c>
      <c r="G54" s="174"/>
      <c r="H54" s="174"/>
      <c r="I54" s="174"/>
      <c r="J54" s="174"/>
      <c r="K54" s="174"/>
      <c r="L54" s="174"/>
      <c r="M54" s="175"/>
    </row>
    <row r="55" spans="1:13" ht="30" hidden="1" customHeight="1" x14ac:dyDescent="0.25">
      <c r="A55" s="76" t="s">
        <v>184</v>
      </c>
      <c r="D55" s="80"/>
      <c r="E55" s="78"/>
      <c r="F55" s="174" t="str">
        <f>"A108418"</f>
        <v>A108418</v>
      </c>
      <c r="G55" s="174"/>
      <c r="H55" s="174"/>
      <c r="I55" s="174"/>
      <c r="J55" s="174"/>
      <c r="K55" s="174"/>
      <c r="L55" s="174"/>
      <c r="M55" s="175"/>
    </row>
    <row r="56" spans="1:13" ht="30" hidden="1" customHeight="1" x14ac:dyDescent="0.25">
      <c r="A56" s="76" t="s">
        <v>184</v>
      </c>
      <c r="D56" s="80"/>
      <c r="E56" s="78"/>
      <c r="F56" s="174" t="str">
        <f>"A108435"</f>
        <v>A108435</v>
      </c>
      <c r="G56" s="174"/>
      <c r="H56" s="174"/>
      <c r="I56" s="174"/>
      <c r="J56" s="174"/>
      <c r="K56" s="174"/>
      <c r="L56" s="174"/>
      <c r="M56" s="175"/>
    </row>
    <row r="57" spans="1:13" ht="15.75" hidden="1" customHeight="1" thickBot="1" x14ac:dyDescent="0.3">
      <c r="A57" s="76" t="s">
        <v>19</v>
      </c>
      <c r="D57" s="80"/>
      <c r="E57" s="78"/>
      <c r="F57" s="78"/>
      <c r="G57" s="79"/>
      <c r="H57" s="78"/>
      <c r="I57" s="78"/>
      <c r="J57" s="78"/>
      <c r="K57" s="78"/>
      <c r="L57" s="78"/>
      <c r="M57" s="77"/>
    </row>
    <row r="58" spans="1:13" ht="36.75" x14ac:dyDescent="0.45">
      <c r="A58" s="76" t="s">
        <v>30</v>
      </c>
      <c r="D58" s="176" t="s">
        <v>50</v>
      </c>
      <c r="E58" s="177"/>
      <c r="F58" s="178">
        <f>+F7</f>
        <v>42612</v>
      </c>
      <c r="G58" s="179"/>
      <c r="H58" s="179"/>
      <c r="I58" s="179"/>
      <c r="J58" s="179"/>
      <c r="K58" s="179"/>
      <c r="L58" s="179"/>
      <c r="M58" s="180"/>
    </row>
    <row r="59" spans="1:13" ht="37.5" thickBot="1" x14ac:dyDescent="0.5">
      <c r="A59" s="76" t="s">
        <v>30</v>
      </c>
      <c r="D59" s="158" t="s">
        <v>32</v>
      </c>
      <c r="E59" s="159"/>
      <c r="F59" s="160"/>
      <c r="G59" s="161"/>
      <c r="H59" s="161"/>
      <c r="I59" s="161"/>
      <c r="J59" s="161"/>
      <c r="K59" s="161"/>
      <c r="L59" s="161"/>
      <c r="M59" s="162"/>
    </row>
    <row r="60" spans="1:13" ht="80.099999999999994" customHeight="1" thickBot="1" x14ac:dyDescent="0.3">
      <c r="A60" s="76" t="s">
        <v>30</v>
      </c>
      <c r="D60" s="163" t="s">
        <v>51</v>
      </c>
      <c r="E60" s="164"/>
      <c r="F60" s="164"/>
      <c r="G60" s="164"/>
      <c r="H60" s="164"/>
      <c r="I60" s="164"/>
      <c r="J60" s="164"/>
      <c r="K60" s="164"/>
      <c r="L60" s="164"/>
      <c r="M60" s="165"/>
    </row>
    <row r="61" spans="1:13" ht="90" customHeight="1" thickBot="1" x14ac:dyDescent="0.3">
      <c r="A61" s="76" t="s">
        <v>30</v>
      </c>
      <c r="D61" s="166" t="str">
        <f>IF(F6="DELIVER",G6,F6)</f>
        <v>PICKUP</v>
      </c>
      <c r="E61" s="167"/>
      <c r="F61" s="167"/>
      <c r="G61" s="167"/>
      <c r="H61" s="167"/>
      <c r="I61" s="167"/>
      <c r="J61" s="167"/>
      <c r="K61" s="167"/>
      <c r="L61" s="167"/>
      <c r="M61" s="168"/>
    </row>
    <row r="62" spans="1:13" ht="60" customHeight="1" thickBot="1" x14ac:dyDescent="0.3">
      <c r="A62" s="76" t="s">
        <v>30</v>
      </c>
      <c r="D62" s="169" t="s">
        <v>55</v>
      </c>
      <c r="E62" s="170"/>
      <c r="F62" s="170"/>
      <c r="G62" s="170"/>
      <c r="H62" s="170"/>
      <c r="I62" s="170"/>
      <c r="J62" s="170"/>
      <c r="K62" s="170"/>
      <c r="L62" s="170"/>
      <c r="M62" s="171"/>
    </row>
  </sheetData>
  <mergeCells count="23">
    <mergeCell ref="D2:M2"/>
    <mergeCell ref="F26:M28"/>
    <mergeCell ref="D44:M44"/>
    <mergeCell ref="D46:M46"/>
    <mergeCell ref="D47:E47"/>
    <mergeCell ref="F47:M47"/>
    <mergeCell ref="D48:E48"/>
    <mergeCell ref="F48:M48"/>
    <mergeCell ref="D49:E49"/>
    <mergeCell ref="F50:M50"/>
    <mergeCell ref="D58:E58"/>
    <mergeCell ref="F58:M58"/>
    <mergeCell ref="F56:M56"/>
    <mergeCell ref="F51:M51"/>
    <mergeCell ref="F52:M52"/>
    <mergeCell ref="F53:M53"/>
    <mergeCell ref="F54:M54"/>
    <mergeCell ref="F55:M55"/>
    <mergeCell ref="D59:E59"/>
    <mergeCell ref="F59:M59"/>
    <mergeCell ref="D60:M60"/>
    <mergeCell ref="D61:M61"/>
    <mergeCell ref="D62:M62"/>
  </mergeCells>
  <conditionalFormatting sqref="F6">
    <cfRule type="cellIs" dxfId="184" priority="5" operator="equal">
      <formula>"DELIVER"</formula>
    </cfRule>
  </conditionalFormatting>
  <conditionalFormatting sqref="D46">
    <cfRule type="cellIs" dxfId="183" priority="4" operator="equal">
      <formula>"DELIVER"</formula>
    </cfRule>
  </conditionalFormatting>
  <conditionalFormatting sqref="D2:M2">
    <cfRule type="expression" dxfId="182" priority="3">
      <formula>$F$6="DELIVER"</formula>
    </cfRule>
  </conditionalFormatting>
  <conditionalFormatting sqref="G6">
    <cfRule type="expression" dxfId="181" priority="2">
      <formula>$F$6="DELIVER"</formula>
    </cfRule>
  </conditionalFormatting>
  <conditionalFormatting sqref="D61">
    <cfRule type="expression" dxfId="18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44" max="16383" man="1"/>
  </rowBreaks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1720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FAMILY GATEWAY  (004052HSF)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"004052HSF"</f>
        <v>004052HSF</v>
      </c>
      <c r="E4" s="101" t="s">
        <v>37</v>
      </c>
      <c r="F4" s="105" t="str">
        <f>C4</f>
        <v>004052HSF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1354</v>
      </c>
      <c r="E5" s="101" t="s">
        <v>36</v>
      </c>
      <c r="F5" s="112" t="s">
        <v>1190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1355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A108339|A108339|A108339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ITPN-207473|ITPN-207474|ITPN-207473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1354</v>
      </c>
      <c r="E12" s="74" t="s">
        <v>1335</v>
      </c>
      <c r="F12" s="74" t="s">
        <v>1350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Pick"",""2"",""ITPN-207474"""</f>
        <v>"Ceres NTFB Live","NTFB Live","5766","1","Invt. Pick","2","ITPN-207474"</v>
      </c>
      <c r="E13" s="74" t="s">
        <v>1335</v>
      </c>
      <c r="F13" s="74" t="s">
        <v>1351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1335</v>
      </c>
      <c r="E14" s="74" t="str">
        <f>E12</f>
        <v>A108339</v>
      </c>
      <c r="F14" s="74" t="str">
        <f>F12</f>
        <v>ITPN-207473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1352</v>
      </c>
      <c r="F15" s="92" t="s">
        <v>1353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45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FAMILY GATEWAY  (004052HSF) - NO FRZ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004052HSF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FAMILY GATEWAY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1335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179" priority="5" operator="equal">
      <formula>"DELIVER"</formula>
    </cfRule>
  </conditionalFormatting>
  <conditionalFormatting sqref="D29">
    <cfRule type="cellIs" dxfId="178" priority="4" operator="equal">
      <formula>"DELIVER"</formula>
    </cfRule>
  </conditionalFormatting>
  <conditionalFormatting sqref="D2:M2">
    <cfRule type="expression" dxfId="177" priority="3">
      <formula>$F$6="DELIVER"</formula>
    </cfRule>
  </conditionalFormatting>
  <conditionalFormatting sqref="G6">
    <cfRule type="expression" dxfId="176" priority="2">
      <formula>$F$6="DELIVER"</formula>
    </cfRule>
  </conditionalFormatting>
  <conditionalFormatting sqref="D38">
    <cfRule type="expression" dxfId="17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1722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RICHARDSON EAST COC  (008146P)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"008146P"</f>
        <v>008146P</v>
      </c>
      <c r="E4" s="101" t="s">
        <v>37</v>
      </c>
      <c r="F4" s="105" t="str">
        <f>C4</f>
        <v>008146P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1360</v>
      </c>
      <c r="E5" s="101" t="s">
        <v>36</v>
      </c>
      <c r="F5" s="112" t="s">
        <v>1181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1361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A108337|A108337|A108337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ITPN-207470|ITPN-207471|ITPN-207470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1360</v>
      </c>
      <c r="E12" s="74" t="s">
        <v>1357</v>
      </c>
      <c r="F12" s="74" t="s">
        <v>1358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Pick"",""2"",""ITPN-207471"""</f>
        <v>"Ceres NTFB Live","NTFB Live","5766","1","Invt. Pick","2","ITPN-207471"</v>
      </c>
      <c r="E13" s="74" t="s">
        <v>1357</v>
      </c>
      <c r="F13" s="74" t="s">
        <v>1359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1357</v>
      </c>
      <c r="E14" s="74" t="str">
        <f>E12</f>
        <v>A108337</v>
      </c>
      <c r="F14" s="74" t="str">
        <f>F12</f>
        <v>ITPN-207470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1792</v>
      </c>
      <c r="F15" s="92" t="s">
        <v>1793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45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RICHARDSON EAST COC  (008146P) - NO FRZ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008146P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RICHARDSON EAST COC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1357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COLLIN 3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174" priority="5" operator="equal">
      <formula>"DELIVER"</formula>
    </cfRule>
  </conditionalFormatting>
  <conditionalFormatting sqref="D29">
    <cfRule type="cellIs" dxfId="173" priority="4" operator="equal">
      <formula>"DELIVER"</formula>
    </cfRule>
  </conditionalFormatting>
  <conditionalFormatting sqref="D2:M2">
    <cfRule type="expression" dxfId="172" priority="3">
      <formula>$F$6="DELIVER"</formula>
    </cfRule>
  </conditionalFormatting>
  <conditionalFormatting sqref="G6">
    <cfRule type="expression" dxfId="171" priority="2">
      <formula>$F$6="DELIVER"</formula>
    </cfRule>
  </conditionalFormatting>
  <conditionalFormatting sqref="D38">
    <cfRule type="expression" dxfId="17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1724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>HIDESHEET</v>
      </c>
      <c r="C2" s="74" t="s">
        <v>7</v>
      </c>
      <c r="D2" s="181" t="str">
        <f>IF(E24="",F5&amp;"  ("&amp;F4&amp;") - NO "&amp;C23,F5&amp;"  ("&amp;F4&amp;") - "&amp;C23&amp;" PICK LIST")</f>
        <v>CARROLLTON FRIENDSHIP HOUSE  (026030P)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"026030P"</f>
        <v>026030P</v>
      </c>
      <c r="E4" s="101" t="s">
        <v>37</v>
      </c>
      <c r="F4" s="105" t="str">
        <f>C4</f>
        <v>026030P</v>
      </c>
      <c r="K4" s="101" t="s">
        <v>42</v>
      </c>
      <c r="L4" s="104"/>
      <c r="M4" s="111">
        <f>SUM(I24:I25)</f>
        <v>0</v>
      </c>
    </row>
    <row r="5" spans="1:26" ht="18" hidden="1" customHeight="1" x14ac:dyDescent="0.25">
      <c r="B5" s="76" t="str">
        <f t="shared" si="0"/>
        <v>Hide</v>
      </c>
      <c r="C5" s="109" t="s">
        <v>1372</v>
      </c>
      <c r="E5" s="101" t="s">
        <v>36</v>
      </c>
      <c r="F5" s="112" t="s">
        <v>1177</v>
      </c>
      <c r="K5" s="101" t="s">
        <v>43</v>
      </c>
      <c r="L5" s="104"/>
      <c r="M5" s="111">
        <f>ROUND(SUM(O24:O25),0)</f>
        <v>0</v>
      </c>
    </row>
    <row r="6" spans="1:26" ht="18" hidden="1" customHeight="1" x14ac:dyDescent="0.25">
      <c r="B6" s="76" t="str">
        <f t="shared" si="0"/>
        <v>Hide</v>
      </c>
      <c r="C6" s="109" t="s">
        <v>1377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ROUND(COUNT(O24:O25),0)</f>
        <v>0</v>
      </c>
      <c r="P6" s="101"/>
      <c r="W6" s="101" t="str">
        <f>"ESTIMATED "&amp;O23&amp;"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E14</f>
        <v>A108219|A108219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F14</f>
        <v>ITPN-207453|ITPN-207453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 t="shared" si="0"/>
        <v>Hide</v>
      </c>
      <c r="C12" s="74" t="s">
        <v>1372</v>
      </c>
      <c r="E12" s="74" t="s">
        <v>1365</v>
      </c>
      <c r="F12" s="74" t="s">
        <v>1373</v>
      </c>
      <c r="I12" s="98"/>
      <c r="J12" s="98"/>
      <c r="K12" s="98"/>
      <c r="L12" s="98"/>
      <c r="M12" s="98"/>
    </row>
    <row r="13" spans="1:26" hidden="1" x14ac:dyDescent="0.25">
      <c r="A13" s="74" t="s">
        <v>6</v>
      </c>
      <c r="B13" s="76" t="str">
        <f t="shared" si="0"/>
        <v>Hide</v>
      </c>
      <c r="C13" s="74" t="s">
        <v>1365</v>
      </c>
      <c r="E13" s="74" t="str">
        <f>E12</f>
        <v>A108219</v>
      </c>
      <c r="F13" s="74" t="str">
        <f>F12</f>
        <v>ITPN-207453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si="0"/>
        <v>Hide</v>
      </c>
      <c r="E14" s="92" t="s">
        <v>1374</v>
      </c>
      <c r="F14" s="92" t="s">
        <v>1375</v>
      </c>
      <c r="I14" s="98"/>
      <c r="J14" s="98"/>
      <c r="K14" s="98"/>
      <c r="L14" s="98"/>
      <c r="M14" s="98"/>
    </row>
    <row r="15" spans="1:26" hidden="1" x14ac:dyDescent="0.25">
      <c r="B15" s="76" t="str">
        <f t="shared" si="0"/>
        <v>Hide</v>
      </c>
      <c r="E15" s="101" t="s">
        <v>20</v>
      </c>
      <c r="F15" s="184" t="s">
        <v>1376</v>
      </c>
      <c r="G15" s="185"/>
      <c r="H15" s="185"/>
      <c r="I15" s="185"/>
      <c r="J15" s="185"/>
      <c r="K15" s="185"/>
      <c r="L15" s="185"/>
      <c r="M15" s="186"/>
    </row>
    <row r="16" spans="1:26" hidden="1" x14ac:dyDescent="0.25">
      <c r="B16" s="76" t="str">
        <f t="shared" si="0"/>
        <v>Hide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hidden="1" thickBot="1" x14ac:dyDescent="0.3">
      <c r="B17" s="76" t="str">
        <f t="shared" si="0"/>
        <v>Hide</v>
      </c>
      <c r="F17" s="190"/>
      <c r="G17" s="191"/>
      <c r="H17" s="191"/>
      <c r="I17" s="191"/>
      <c r="J17" s="191"/>
      <c r="K17" s="191"/>
      <c r="L17" s="191"/>
      <c r="M17" s="192"/>
    </row>
    <row r="18" spans="1:17" hidden="1" x14ac:dyDescent="0.25">
      <c r="B18" s="76" t="str">
        <f t="shared" si="0"/>
        <v>Hide</v>
      </c>
    </row>
    <row r="19" spans="1:17" hidden="1" x14ac:dyDescent="0.25">
      <c r="B19" s="76" t="str">
        <f t="shared" si="0"/>
        <v>Hide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hidden="1" x14ac:dyDescent="0.25">
      <c r="B20" s="76" t="str">
        <f t="shared" si="0"/>
        <v>Hide</v>
      </c>
      <c r="E20" s="101"/>
    </row>
    <row r="21" spans="1:17" hidden="1" x14ac:dyDescent="0.25">
      <c r="B21" s="76" t="str">
        <f t="shared" si="0"/>
        <v>Hide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hidden="1" x14ac:dyDescent="0.25">
      <c r="B22" s="76" t="str">
        <f t="shared" si="0"/>
        <v>Hide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hidden="1" customHeight="1" x14ac:dyDescent="0.25">
      <c r="A23" s="97"/>
      <c r="B23" s="76" t="str">
        <f t="shared" si="0"/>
        <v>Hide</v>
      </c>
      <c r="C23" s="117" t="s">
        <v>45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hidden="1" customHeight="1" x14ac:dyDescent="0.25">
      <c r="B24" s="92" t="str">
        <f>IF(I24="","Hide","Show")</f>
        <v>Hide</v>
      </c>
      <c r="C24" s="74" t="s">
        <v>179</v>
      </c>
      <c r="D24" s="89" t="s">
        <v>179</v>
      </c>
      <c r="E24" s="89" t="s">
        <v>179</v>
      </c>
      <c r="F24" s="89" t="s">
        <v>179</v>
      </c>
      <c r="G24" s="91" t="s">
        <v>180</v>
      </c>
      <c r="H24" s="90" t="s">
        <v>179</v>
      </c>
      <c r="I24" s="89" t="s">
        <v>179</v>
      </c>
      <c r="J24" s="89" t="s">
        <v>179</v>
      </c>
      <c r="K24" s="88"/>
      <c r="L24" s="87"/>
      <c r="M24" s="87"/>
      <c r="N24" s="85" t="s">
        <v>179</v>
      </c>
      <c r="O24" s="85" t="s">
        <v>179</v>
      </c>
      <c r="P24" s="85" t="s">
        <v>179</v>
      </c>
      <c r="Q24" s="86" t="s">
        <v>56</v>
      </c>
    </row>
    <row r="25" spans="1:17" hidden="1" x14ac:dyDescent="0.25">
      <c r="B25" s="74" t="str">
        <f>B24</f>
        <v>Hide</v>
      </c>
      <c r="H25" s="85"/>
      <c r="I25" s="85"/>
    </row>
    <row r="26" spans="1:17" ht="15.75" hidden="1" thickBot="1" x14ac:dyDescent="0.3">
      <c r="B26" s="74" t="str">
        <f>+B25</f>
        <v>Hide</v>
      </c>
      <c r="D26" s="193" t="str">
        <f>+"END OF "&amp;D2</f>
        <v>END OF CARROLLTON FRIENDSHIP HOUSE  (026030P) - NO FRZ</v>
      </c>
      <c r="E26" s="194"/>
      <c r="F26" s="194"/>
      <c r="G26" s="194"/>
      <c r="H26" s="194"/>
      <c r="I26" s="194"/>
      <c r="J26" s="194"/>
      <c r="K26" s="194"/>
      <c r="L26" s="194"/>
      <c r="M26" s="195"/>
    </row>
    <row r="27" spans="1:17" ht="15.75" thickBot="1" x14ac:dyDescent="0.3"/>
    <row r="28" spans="1:17" ht="80.099999999999994" customHeight="1" thickBot="1" x14ac:dyDescent="0.3">
      <c r="A28" s="76" t="s">
        <v>30</v>
      </c>
      <c r="D28" s="166" t="str">
        <f>+F6</f>
        <v>DELIVER</v>
      </c>
      <c r="E28" s="167"/>
      <c r="F28" s="167"/>
      <c r="G28" s="167"/>
      <c r="H28" s="167"/>
      <c r="I28" s="167"/>
      <c r="J28" s="167"/>
      <c r="K28" s="167"/>
      <c r="L28" s="167"/>
      <c r="M28" s="168"/>
    </row>
    <row r="29" spans="1:17" ht="36.75" x14ac:dyDescent="0.45">
      <c r="A29" s="76" t="s">
        <v>30</v>
      </c>
      <c r="D29" s="176" t="s">
        <v>12</v>
      </c>
      <c r="E29" s="177"/>
      <c r="F29" s="196" t="str">
        <f>+F4</f>
        <v>026030P</v>
      </c>
      <c r="G29" s="196"/>
      <c r="H29" s="196"/>
      <c r="I29" s="196"/>
      <c r="J29" s="196"/>
      <c r="K29" s="196"/>
      <c r="L29" s="196"/>
      <c r="M29" s="197"/>
    </row>
    <row r="30" spans="1:17" ht="37.5" customHeight="1" thickBot="1" x14ac:dyDescent="0.5">
      <c r="A30" s="76" t="s">
        <v>30</v>
      </c>
      <c r="D30" s="158" t="s">
        <v>5</v>
      </c>
      <c r="E30" s="159"/>
      <c r="F30" s="161" t="str">
        <f>+F5</f>
        <v>CARROLLTON FRIENDSHIP HOUSE</v>
      </c>
      <c r="G30" s="161"/>
      <c r="H30" s="161"/>
      <c r="I30" s="161"/>
      <c r="J30" s="161"/>
      <c r="K30" s="161"/>
      <c r="L30" s="161"/>
      <c r="M30" s="162"/>
      <c r="N30" s="84"/>
      <c r="O30" s="84"/>
      <c r="P30" s="84"/>
    </row>
    <row r="31" spans="1:17" ht="33.75" hidden="1" thickBot="1" x14ac:dyDescent="0.45">
      <c r="A31" s="76" t="s">
        <v>19</v>
      </c>
      <c r="D31" s="172" t="s">
        <v>49</v>
      </c>
      <c r="E31" s="173"/>
      <c r="F31" s="82"/>
      <c r="G31" s="83"/>
      <c r="H31" s="82"/>
      <c r="I31" s="82"/>
      <c r="J31" s="82"/>
      <c r="K31" s="82"/>
      <c r="L31" s="82"/>
      <c r="M31" s="81"/>
    </row>
    <row r="32" spans="1:17" ht="30" hidden="1" customHeight="1" x14ac:dyDescent="0.25">
      <c r="A32" s="76" t="s">
        <v>19</v>
      </c>
      <c r="D32" s="80"/>
      <c r="E32" s="78"/>
      <c r="F32" s="174" t="s">
        <v>1365</v>
      </c>
      <c r="G32" s="174"/>
      <c r="H32" s="174"/>
      <c r="I32" s="174"/>
      <c r="J32" s="174"/>
      <c r="K32" s="174"/>
      <c r="L32" s="174"/>
      <c r="M32" s="175"/>
    </row>
    <row r="33" spans="1:13" ht="15.75" hidden="1" customHeight="1" thickBot="1" x14ac:dyDescent="0.3">
      <c r="A33" s="76" t="s">
        <v>19</v>
      </c>
      <c r="D33" s="80"/>
      <c r="E33" s="78"/>
      <c r="F33" s="78"/>
      <c r="G33" s="79"/>
      <c r="H33" s="78"/>
      <c r="I33" s="78"/>
      <c r="J33" s="78"/>
      <c r="K33" s="78"/>
      <c r="L33" s="78"/>
      <c r="M33" s="77"/>
    </row>
    <row r="34" spans="1:13" ht="36.75" x14ac:dyDescent="0.45">
      <c r="A34" s="76" t="s">
        <v>30</v>
      </c>
      <c r="D34" s="176" t="s">
        <v>50</v>
      </c>
      <c r="E34" s="177"/>
      <c r="F34" s="178">
        <f>+F7</f>
        <v>42612</v>
      </c>
      <c r="G34" s="179"/>
      <c r="H34" s="179"/>
      <c r="I34" s="179"/>
      <c r="J34" s="179"/>
      <c r="K34" s="179"/>
      <c r="L34" s="179"/>
      <c r="M34" s="180"/>
    </row>
    <row r="35" spans="1:13" ht="37.5" thickBot="1" x14ac:dyDescent="0.5">
      <c r="A35" s="76" t="s">
        <v>30</v>
      </c>
      <c r="D35" s="158" t="s">
        <v>32</v>
      </c>
      <c r="E35" s="159"/>
      <c r="F35" s="160"/>
      <c r="G35" s="161"/>
      <c r="H35" s="161"/>
      <c r="I35" s="161"/>
      <c r="J35" s="161"/>
      <c r="K35" s="161"/>
      <c r="L35" s="161"/>
      <c r="M35" s="162"/>
    </row>
    <row r="36" spans="1:13" ht="80.099999999999994" customHeight="1" thickBot="1" x14ac:dyDescent="0.3">
      <c r="A36" s="76" t="s">
        <v>30</v>
      </c>
      <c r="D36" s="163" t="s">
        <v>51</v>
      </c>
      <c r="E36" s="164"/>
      <c r="F36" s="164"/>
      <c r="G36" s="164"/>
      <c r="H36" s="164"/>
      <c r="I36" s="164"/>
      <c r="J36" s="164"/>
      <c r="K36" s="164"/>
      <c r="L36" s="164"/>
      <c r="M36" s="165"/>
    </row>
    <row r="37" spans="1:13" ht="90" customHeight="1" thickBot="1" x14ac:dyDescent="0.3">
      <c r="A37" s="76" t="s">
        <v>30</v>
      </c>
      <c r="D37" s="166" t="str">
        <f>IF(F6="DELIVER",G6,F6)</f>
        <v>COLLIN 3</v>
      </c>
      <c r="E37" s="167"/>
      <c r="F37" s="167"/>
      <c r="G37" s="167"/>
      <c r="H37" s="167"/>
      <c r="I37" s="167"/>
      <c r="J37" s="167"/>
      <c r="K37" s="167"/>
      <c r="L37" s="167"/>
      <c r="M37" s="168"/>
    </row>
    <row r="38" spans="1:13" ht="60" customHeight="1" thickBot="1" x14ac:dyDescent="0.3">
      <c r="A38" s="76" t="s">
        <v>30</v>
      </c>
      <c r="D38" s="169" t="s">
        <v>55</v>
      </c>
      <c r="E38" s="170"/>
      <c r="F38" s="170"/>
      <c r="G38" s="170"/>
      <c r="H38" s="170"/>
      <c r="I38" s="170"/>
      <c r="J38" s="170"/>
      <c r="K38" s="170"/>
      <c r="L38" s="170"/>
      <c r="M38" s="171"/>
    </row>
  </sheetData>
  <mergeCells count="17">
    <mergeCell ref="D2:M2"/>
    <mergeCell ref="F15:M17"/>
    <mergeCell ref="D26:M26"/>
    <mergeCell ref="D28:M28"/>
    <mergeCell ref="D29:E29"/>
    <mergeCell ref="F29:M29"/>
    <mergeCell ref="D30:E30"/>
    <mergeCell ref="F30:M30"/>
    <mergeCell ref="D31:E31"/>
    <mergeCell ref="F32:M32"/>
    <mergeCell ref="D34:E34"/>
    <mergeCell ref="F34:M34"/>
    <mergeCell ref="D35:E35"/>
    <mergeCell ref="F35:M35"/>
    <mergeCell ref="D36:M36"/>
    <mergeCell ref="D37:M37"/>
    <mergeCell ref="D38:M38"/>
  </mergeCells>
  <conditionalFormatting sqref="F6">
    <cfRule type="cellIs" dxfId="169" priority="5" operator="equal">
      <formula>"DELIVER"</formula>
    </cfRule>
  </conditionalFormatting>
  <conditionalFormatting sqref="D28">
    <cfRule type="cellIs" dxfId="168" priority="4" operator="equal">
      <formula>"DELIVER"</formula>
    </cfRule>
  </conditionalFormatting>
  <conditionalFormatting sqref="D2:M2">
    <cfRule type="expression" dxfId="167" priority="3">
      <formula>$F$6="DELIVER"</formula>
    </cfRule>
  </conditionalFormatting>
  <conditionalFormatting sqref="G6">
    <cfRule type="expression" dxfId="166" priority="2">
      <formula>$F$6="DELIVER"</formula>
    </cfRule>
  </conditionalFormatting>
  <conditionalFormatting sqref="D37">
    <cfRule type="expression" dxfId="16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1726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>HIDESHEET</v>
      </c>
      <c r="C2" s="74" t="s">
        <v>7</v>
      </c>
      <c r="D2" s="181" t="str">
        <f>IF(E24="",F5&amp;"  ("&amp;F4&amp;") - NO "&amp;C23,F5&amp;"  ("&amp;F4&amp;") - "&amp;C23&amp;" PICK LIST")</f>
        <v>CATHOLIC CHARITIES OF DALLAS  (026056P5)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"026056P5"</f>
        <v>026056P5</v>
      </c>
      <c r="E4" s="101" t="s">
        <v>37</v>
      </c>
      <c r="F4" s="105" t="str">
        <f>C4</f>
        <v>026056P5</v>
      </c>
      <c r="K4" s="101" t="s">
        <v>42</v>
      </c>
      <c r="L4" s="104"/>
      <c r="M4" s="111">
        <f>SUM(I24:I25)</f>
        <v>0</v>
      </c>
    </row>
    <row r="5" spans="1:26" ht="18" hidden="1" customHeight="1" x14ac:dyDescent="0.25">
      <c r="B5" s="76" t="str">
        <f t="shared" si="0"/>
        <v>Hide</v>
      </c>
      <c r="C5" s="109" t="s">
        <v>1380</v>
      </c>
      <c r="E5" s="101" t="s">
        <v>36</v>
      </c>
      <c r="F5" s="112" t="s">
        <v>1184</v>
      </c>
      <c r="K5" s="101" t="s">
        <v>43</v>
      </c>
      <c r="L5" s="104"/>
      <c r="M5" s="111">
        <f>ROUND(SUM(O24:O25),0)</f>
        <v>0</v>
      </c>
    </row>
    <row r="6" spans="1:26" ht="18" hidden="1" customHeight="1" x14ac:dyDescent="0.25">
      <c r="B6" s="76" t="str">
        <f t="shared" si="0"/>
        <v>Hide</v>
      </c>
      <c r="C6" s="109" t="s">
        <v>1384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ROUND(COUNT(O24:O25),0)</f>
        <v>0</v>
      </c>
      <c r="P6" s="101"/>
      <c r="W6" s="101" t="str">
        <f>"ESTIMATED "&amp;O23&amp;"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E14</f>
        <v>A108413|A108413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F14</f>
        <v>ITPN-207502|ITPN-207502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 t="shared" si="0"/>
        <v>Hide</v>
      </c>
      <c r="C12" s="74" t="s">
        <v>1380</v>
      </c>
      <c r="E12" s="74" t="s">
        <v>1379</v>
      </c>
      <c r="F12" s="74" t="s">
        <v>1381</v>
      </c>
      <c r="I12" s="98"/>
      <c r="J12" s="98"/>
      <c r="K12" s="98"/>
      <c r="L12" s="98"/>
      <c r="M12" s="98"/>
    </row>
    <row r="13" spans="1:26" hidden="1" x14ac:dyDescent="0.25">
      <c r="A13" s="74" t="s">
        <v>6</v>
      </c>
      <c r="B13" s="76" t="str">
        <f t="shared" si="0"/>
        <v>Hide</v>
      </c>
      <c r="C13" s="74" t="s">
        <v>1379</v>
      </c>
      <c r="E13" s="74" t="str">
        <f>E12</f>
        <v>A108413</v>
      </c>
      <c r="F13" s="74" t="str">
        <f>F12</f>
        <v>ITPN-207502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si="0"/>
        <v>Hide</v>
      </c>
      <c r="E14" s="92" t="s">
        <v>1382</v>
      </c>
      <c r="F14" s="92" t="s">
        <v>1383</v>
      </c>
      <c r="I14" s="98"/>
      <c r="J14" s="98"/>
      <c r="K14" s="98"/>
      <c r="L14" s="98"/>
      <c r="M14" s="98"/>
    </row>
    <row r="15" spans="1:26" hidden="1" x14ac:dyDescent="0.25">
      <c r="B15" s="76" t="str">
        <f t="shared" si="0"/>
        <v>Hide</v>
      </c>
      <c r="E15" s="101" t="s">
        <v>20</v>
      </c>
      <c r="F15" s="184" t="s">
        <v>179</v>
      </c>
      <c r="G15" s="185"/>
      <c r="H15" s="185"/>
      <c r="I15" s="185"/>
      <c r="J15" s="185"/>
      <c r="K15" s="185"/>
      <c r="L15" s="185"/>
      <c r="M15" s="186"/>
    </row>
    <row r="16" spans="1:26" hidden="1" x14ac:dyDescent="0.25">
      <c r="B16" s="76" t="str">
        <f t="shared" si="0"/>
        <v>Hide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hidden="1" thickBot="1" x14ac:dyDescent="0.3">
      <c r="B17" s="76" t="str">
        <f t="shared" si="0"/>
        <v>Hide</v>
      </c>
      <c r="F17" s="190"/>
      <c r="G17" s="191"/>
      <c r="H17" s="191"/>
      <c r="I17" s="191"/>
      <c r="J17" s="191"/>
      <c r="K17" s="191"/>
      <c r="L17" s="191"/>
      <c r="M17" s="192"/>
    </row>
    <row r="18" spans="1:17" hidden="1" x14ac:dyDescent="0.25">
      <c r="B18" s="76" t="str">
        <f t="shared" si="0"/>
        <v>Hide</v>
      </c>
    </row>
    <row r="19" spans="1:17" hidden="1" x14ac:dyDescent="0.25">
      <c r="B19" s="76" t="str">
        <f t="shared" si="0"/>
        <v>Hide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hidden="1" x14ac:dyDescent="0.25">
      <c r="B20" s="76" t="str">
        <f t="shared" si="0"/>
        <v>Hide</v>
      </c>
      <c r="E20" s="101"/>
    </row>
    <row r="21" spans="1:17" hidden="1" x14ac:dyDescent="0.25">
      <c r="B21" s="76" t="str">
        <f t="shared" si="0"/>
        <v>Hide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hidden="1" x14ac:dyDescent="0.25">
      <c r="B22" s="76" t="str">
        <f t="shared" si="0"/>
        <v>Hide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hidden="1" customHeight="1" x14ac:dyDescent="0.25">
      <c r="A23" s="97"/>
      <c r="B23" s="76" t="str">
        <f t="shared" si="0"/>
        <v>Hide</v>
      </c>
      <c r="C23" s="117" t="s">
        <v>45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hidden="1" customHeight="1" x14ac:dyDescent="0.25">
      <c r="B24" s="92" t="str">
        <f>IF(I24="","Hide","Show")</f>
        <v>Hide</v>
      </c>
      <c r="C24" s="74" t="s">
        <v>179</v>
      </c>
      <c r="D24" s="89" t="s">
        <v>179</v>
      </c>
      <c r="E24" s="89" t="s">
        <v>179</v>
      </c>
      <c r="F24" s="89" t="s">
        <v>179</v>
      </c>
      <c r="G24" s="91" t="s">
        <v>180</v>
      </c>
      <c r="H24" s="90" t="s">
        <v>179</v>
      </c>
      <c r="I24" s="89" t="s">
        <v>179</v>
      </c>
      <c r="J24" s="89" t="s">
        <v>179</v>
      </c>
      <c r="K24" s="88"/>
      <c r="L24" s="87"/>
      <c r="M24" s="87"/>
      <c r="N24" s="85" t="s">
        <v>179</v>
      </c>
      <c r="O24" s="85" t="s">
        <v>179</v>
      </c>
      <c r="P24" s="85" t="s">
        <v>179</v>
      </c>
      <c r="Q24" s="86" t="s">
        <v>56</v>
      </c>
    </row>
    <row r="25" spans="1:17" hidden="1" x14ac:dyDescent="0.25">
      <c r="B25" s="74" t="str">
        <f>B24</f>
        <v>Hide</v>
      </c>
      <c r="H25" s="85"/>
      <c r="I25" s="85"/>
    </row>
    <row r="26" spans="1:17" ht="15.75" hidden="1" thickBot="1" x14ac:dyDescent="0.3">
      <c r="B26" s="74" t="str">
        <f>+B25</f>
        <v>Hide</v>
      </c>
      <c r="D26" s="193" t="str">
        <f>+"END OF "&amp;D2</f>
        <v>END OF CATHOLIC CHARITIES OF DALLAS  (026056P5) - NO FRZ</v>
      </c>
      <c r="E26" s="194"/>
      <c r="F26" s="194"/>
      <c r="G26" s="194"/>
      <c r="H26" s="194"/>
      <c r="I26" s="194"/>
      <c r="J26" s="194"/>
      <c r="K26" s="194"/>
      <c r="L26" s="194"/>
      <c r="M26" s="195"/>
    </row>
    <row r="27" spans="1:17" ht="15.75" thickBot="1" x14ac:dyDescent="0.3"/>
    <row r="28" spans="1:17" ht="80.099999999999994" customHeight="1" thickBot="1" x14ac:dyDescent="0.3">
      <c r="A28" s="76" t="s">
        <v>30</v>
      </c>
      <c r="D28" s="166" t="str">
        <f>+F6</f>
        <v>PICKUP</v>
      </c>
      <c r="E28" s="167"/>
      <c r="F28" s="167"/>
      <c r="G28" s="167"/>
      <c r="H28" s="167"/>
      <c r="I28" s="167"/>
      <c r="J28" s="167"/>
      <c r="K28" s="167"/>
      <c r="L28" s="167"/>
      <c r="M28" s="168"/>
    </row>
    <row r="29" spans="1:17" ht="36.75" x14ac:dyDescent="0.45">
      <c r="A29" s="76" t="s">
        <v>30</v>
      </c>
      <c r="D29" s="176" t="s">
        <v>12</v>
      </c>
      <c r="E29" s="177"/>
      <c r="F29" s="196" t="str">
        <f>+F4</f>
        <v>026056P5</v>
      </c>
      <c r="G29" s="196"/>
      <c r="H29" s="196"/>
      <c r="I29" s="196"/>
      <c r="J29" s="196"/>
      <c r="K29" s="196"/>
      <c r="L29" s="196"/>
      <c r="M29" s="197"/>
    </row>
    <row r="30" spans="1:17" ht="37.5" customHeight="1" thickBot="1" x14ac:dyDescent="0.5">
      <c r="A30" s="76" t="s">
        <v>30</v>
      </c>
      <c r="D30" s="158" t="s">
        <v>5</v>
      </c>
      <c r="E30" s="159"/>
      <c r="F30" s="161" t="str">
        <f>+F5</f>
        <v>CATHOLIC CHARITIES OF DALLAS</v>
      </c>
      <c r="G30" s="161"/>
      <c r="H30" s="161"/>
      <c r="I30" s="161"/>
      <c r="J30" s="161"/>
      <c r="K30" s="161"/>
      <c r="L30" s="161"/>
      <c r="M30" s="162"/>
      <c r="N30" s="84"/>
      <c r="O30" s="84"/>
      <c r="P30" s="84"/>
    </row>
    <row r="31" spans="1:17" ht="33.75" hidden="1" thickBot="1" x14ac:dyDescent="0.45">
      <c r="A31" s="76" t="s">
        <v>19</v>
      </c>
      <c r="D31" s="172" t="s">
        <v>49</v>
      </c>
      <c r="E31" s="173"/>
      <c r="F31" s="82"/>
      <c r="G31" s="83"/>
      <c r="H31" s="82"/>
      <c r="I31" s="82"/>
      <c r="J31" s="82"/>
      <c r="K31" s="82"/>
      <c r="L31" s="82"/>
      <c r="M31" s="81"/>
    </row>
    <row r="32" spans="1:17" ht="30" hidden="1" customHeight="1" x14ac:dyDescent="0.25">
      <c r="A32" s="76" t="s">
        <v>19</v>
      </c>
      <c r="D32" s="80"/>
      <c r="E32" s="78"/>
      <c r="F32" s="174" t="s">
        <v>1379</v>
      </c>
      <c r="G32" s="174"/>
      <c r="H32" s="174"/>
      <c r="I32" s="174"/>
      <c r="J32" s="174"/>
      <c r="K32" s="174"/>
      <c r="L32" s="174"/>
      <c r="M32" s="175"/>
    </row>
    <row r="33" spans="1:13" ht="15.75" hidden="1" customHeight="1" thickBot="1" x14ac:dyDescent="0.3">
      <c r="A33" s="76" t="s">
        <v>19</v>
      </c>
      <c r="D33" s="80"/>
      <c r="E33" s="78"/>
      <c r="F33" s="78"/>
      <c r="G33" s="79"/>
      <c r="H33" s="78"/>
      <c r="I33" s="78"/>
      <c r="J33" s="78"/>
      <c r="K33" s="78"/>
      <c r="L33" s="78"/>
      <c r="M33" s="77"/>
    </row>
    <row r="34" spans="1:13" ht="36.75" x14ac:dyDescent="0.45">
      <c r="A34" s="76" t="s">
        <v>30</v>
      </c>
      <c r="D34" s="176" t="s">
        <v>50</v>
      </c>
      <c r="E34" s="177"/>
      <c r="F34" s="178">
        <f>+F7</f>
        <v>42612</v>
      </c>
      <c r="G34" s="179"/>
      <c r="H34" s="179"/>
      <c r="I34" s="179"/>
      <c r="J34" s="179"/>
      <c r="K34" s="179"/>
      <c r="L34" s="179"/>
      <c r="M34" s="180"/>
    </row>
    <row r="35" spans="1:13" ht="37.5" thickBot="1" x14ac:dyDescent="0.5">
      <c r="A35" s="76" t="s">
        <v>30</v>
      </c>
      <c r="D35" s="158" t="s">
        <v>32</v>
      </c>
      <c r="E35" s="159"/>
      <c r="F35" s="160"/>
      <c r="G35" s="161"/>
      <c r="H35" s="161"/>
      <c r="I35" s="161"/>
      <c r="J35" s="161"/>
      <c r="K35" s="161"/>
      <c r="L35" s="161"/>
      <c r="M35" s="162"/>
    </row>
    <row r="36" spans="1:13" ht="80.099999999999994" customHeight="1" thickBot="1" x14ac:dyDescent="0.3">
      <c r="A36" s="76" t="s">
        <v>30</v>
      </c>
      <c r="D36" s="163" t="s">
        <v>51</v>
      </c>
      <c r="E36" s="164"/>
      <c r="F36" s="164"/>
      <c r="G36" s="164"/>
      <c r="H36" s="164"/>
      <c r="I36" s="164"/>
      <c r="J36" s="164"/>
      <c r="K36" s="164"/>
      <c r="L36" s="164"/>
      <c r="M36" s="165"/>
    </row>
    <row r="37" spans="1:13" ht="90" customHeight="1" thickBot="1" x14ac:dyDescent="0.3">
      <c r="A37" s="76" t="s">
        <v>30</v>
      </c>
      <c r="D37" s="166" t="str">
        <f>IF(F6="DELIVER",G6,F6)</f>
        <v>PICKUP</v>
      </c>
      <c r="E37" s="167"/>
      <c r="F37" s="167"/>
      <c r="G37" s="167"/>
      <c r="H37" s="167"/>
      <c r="I37" s="167"/>
      <c r="J37" s="167"/>
      <c r="K37" s="167"/>
      <c r="L37" s="167"/>
      <c r="M37" s="168"/>
    </row>
    <row r="38" spans="1:13" ht="60" customHeight="1" thickBot="1" x14ac:dyDescent="0.3">
      <c r="A38" s="76" t="s">
        <v>30</v>
      </c>
      <c r="D38" s="169" t="s">
        <v>55</v>
      </c>
      <c r="E38" s="170"/>
      <c r="F38" s="170"/>
      <c r="G38" s="170"/>
      <c r="H38" s="170"/>
      <c r="I38" s="170"/>
      <c r="J38" s="170"/>
      <c r="K38" s="170"/>
      <c r="L38" s="170"/>
      <c r="M38" s="171"/>
    </row>
  </sheetData>
  <mergeCells count="17">
    <mergeCell ref="D2:M2"/>
    <mergeCell ref="F15:M17"/>
    <mergeCell ref="D26:M26"/>
    <mergeCell ref="D28:M28"/>
    <mergeCell ref="D29:E29"/>
    <mergeCell ref="F29:M29"/>
    <mergeCell ref="D30:E30"/>
    <mergeCell ref="F30:M30"/>
    <mergeCell ref="D31:E31"/>
    <mergeCell ref="F32:M32"/>
    <mergeCell ref="D34:E34"/>
    <mergeCell ref="F34:M34"/>
    <mergeCell ref="D35:E35"/>
    <mergeCell ref="F35:M35"/>
    <mergeCell ref="D36:M36"/>
    <mergeCell ref="D37:M37"/>
    <mergeCell ref="D38:M38"/>
  </mergeCells>
  <conditionalFormatting sqref="F6">
    <cfRule type="cellIs" dxfId="164" priority="5" operator="equal">
      <formula>"DELIVER"</formula>
    </cfRule>
  </conditionalFormatting>
  <conditionalFormatting sqref="D28">
    <cfRule type="cellIs" dxfId="163" priority="4" operator="equal">
      <formula>"DELIVER"</formula>
    </cfRule>
  </conditionalFormatting>
  <conditionalFormatting sqref="D2:M2">
    <cfRule type="expression" dxfId="162" priority="3">
      <formula>$F$6="DELIVER"</formula>
    </cfRule>
  </conditionalFormatting>
  <conditionalFormatting sqref="G6">
    <cfRule type="expression" dxfId="161" priority="2">
      <formula>$F$6="DELIVER"</formula>
    </cfRule>
  </conditionalFormatting>
  <conditionalFormatting sqref="D37">
    <cfRule type="expression" dxfId="16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1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1728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/>
      </c>
      <c r="C2" s="74" t="s">
        <v>7</v>
      </c>
      <c r="D2" s="181" t="str">
        <f>IF(E26="",F5&amp;"  ("&amp;F4&amp;") - NO "&amp;C25,F5&amp;"  ("&amp;F4&amp;") - "&amp;C25&amp;" PICK LIST")</f>
        <v>HOMEWARD BOUND TRINITY CENTER  (026066RA1) - FRZ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"026066RA1"</f>
        <v>026066RA1</v>
      </c>
      <c r="E4" s="101" t="s">
        <v>37</v>
      </c>
      <c r="F4" s="105" t="str">
        <f>C4</f>
        <v>026066RA1</v>
      </c>
      <c r="K4" s="101" t="s">
        <v>42</v>
      </c>
      <c r="L4" s="104"/>
      <c r="M4" s="111">
        <f>SUM(I26:I28)</f>
        <v>6</v>
      </c>
    </row>
    <row r="5" spans="1:26" ht="18" customHeight="1" x14ac:dyDescent="0.25">
      <c r="B5" s="76" t="str">
        <f t="shared" si="0"/>
        <v>Show</v>
      </c>
      <c r="C5" s="109" t="s">
        <v>1396</v>
      </c>
      <c r="E5" s="101" t="s">
        <v>36</v>
      </c>
      <c r="F5" s="112" t="s">
        <v>732</v>
      </c>
      <c r="K5" s="101" t="s">
        <v>43</v>
      </c>
      <c r="L5" s="104"/>
      <c r="M5" s="111">
        <f>ROUND(SUM(O26:O28),0)</f>
        <v>208</v>
      </c>
    </row>
    <row r="6" spans="1:26" ht="18" customHeight="1" x14ac:dyDescent="0.25">
      <c r="B6" s="76" t="str">
        <f t="shared" si="0"/>
        <v>Show</v>
      </c>
      <c r="C6" s="109" t="s">
        <v>1397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ROUND(COUNT(O26:O28),0)</f>
        <v>2</v>
      </c>
      <c r="P6" s="101"/>
      <c r="W6" s="101" t="str">
        <f>"ESTIMATED "&amp;O25&amp;"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E16</f>
        <v>A108374|A108374|A108374|A108374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F16</f>
        <v>ITPN-207488|ITPN-207489|ITPN-207491|ITPN-207488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B15</f>
        <v>Show</v>
      </c>
      <c r="C12" s="74" t="s">
        <v>1398</v>
      </c>
      <c r="E12" s="74" t="s">
        <v>1387</v>
      </c>
      <c r="F12" s="74" t="s">
        <v>1391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4" si="1">B16</f>
        <v>Show</v>
      </c>
      <c r="C13" s="74" t="str">
        <f>"""Ceres NTFB Live"",""NTFB Live"",""5766"",""1"",""Invt. Pick"",""2"",""ITPN-207489"""</f>
        <v>"Ceres NTFB Live","NTFB Live","5766","1","Invt. Pick","2","ITPN-207489"</v>
      </c>
      <c r="E13" s="74" t="s">
        <v>1387</v>
      </c>
      <c r="F13" s="74" t="s">
        <v>1392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Pick"",""2"",""ITPN-207491"""</f>
        <v>"Ceres NTFB Live","NTFB Live","5766","1","Invt. Pick","2","ITPN-207491"</v>
      </c>
      <c r="E14" s="74" t="s">
        <v>1387</v>
      </c>
      <c r="F14" s="74" t="s">
        <v>1393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ref="B15:B25" si="2">B16</f>
        <v>Show</v>
      </c>
      <c r="C15" s="74" t="s">
        <v>1387</v>
      </c>
      <c r="E15" s="74" t="str">
        <f>E12</f>
        <v>A108374</v>
      </c>
      <c r="F15" s="74" t="str">
        <f>F12</f>
        <v>ITPN-207488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6</v>
      </c>
      <c r="B16" s="76" t="str">
        <f t="shared" si="2"/>
        <v>Show</v>
      </c>
      <c r="E16" s="92" t="s">
        <v>1394</v>
      </c>
      <c r="F16" s="92" t="s">
        <v>1395</v>
      </c>
      <c r="I16" s="98"/>
      <c r="J16" s="98"/>
      <c r="K16" s="98"/>
      <c r="L16" s="98"/>
      <c r="M16" s="98"/>
    </row>
    <row r="17" spans="1:17" x14ac:dyDescent="0.25">
      <c r="B17" s="76" t="str">
        <f t="shared" si="2"/>
        <v>Show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x14ac:dyDescent="0.25">
      <c r="B18" s="76" t="str">
        <f t="shared" si="2"/>
        <v>Show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thickBot="1" x14ac:dyDescent="0.3">
      <c r="B19" s="76" t="str">
        <f t="shared" si="2"/>
        <v>Show</v>
      </c>
      <c r="F19" s="190"/>
      <c r="G19" s="191"/>
      <c r="H19" s="191"/>
      <c r="I19" s="191"/>
      <c r="J19" s="191"/>
      <c r="K19" s="191"/>
      <c r="L19" s="191"/>
      <c r="M19" s="192"/>
    </row>
    <row r="20" spans="1:17" x14ac:dyDescent="0.25">
      <c r="B20" s="76" t="str">
        <f t="shared" si="2"/>
        <v>Show</v>
      </c>
    </row>
    <row r="21" spans="1:17" x14ac:dyDescent="0.25">
      <c r="B21" s="76" t="str">
        <f t="shared" si="2"/>
        <v>Show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x14ac:dyDescent="0.25">
      <c r="B22" s="76" t="str">
        <f t="shared" si="2"/>
        <v>Show</v>
      </c>
      <c r="E22" s="101"/>
    </row>
    <row r="23" spans="1:17" x14ac:dyDescent="0.25">
      <c r="B23" s="76" t="str">
        <f t="shared" si="2"/>
        <v>Show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x14ac:dyDescent="0.25">
      <c r="B24" s="76" t="str">
        <f t="shared" si="2"/>
        <v>Show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customHeight="1" x14ac:dyDescent="0.25">
      <c r="A25" s="97"/>
      <c r="B25" s="76" t="str">
        <f t="shared" si="2"/>
        <v>Show</v>
      </c>
      <c r="C25" s="117" t="s">
        <v>45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customHeight="1" x14ac:dyDescent="0.25">
      <c r="B26" s="92" t="str">
        <f>IF(I26="","Hide","Show")</f>
        <v>Show</v>
      </c>
      <c r="C26" s="74" t="s">
        <v>1519</v>
      </c>
      <c r="D26" s="89" t="s">
        <v>784</v>
      </c>
      <c r="E26" s="89" t="s">
        <v>785</v>
      </c>
      <c r="F26" s="89" t="s">
        <v>786</v>
      </c>
      <c r="G26" s="91" t="s">
        <v>1515</v>
      </c>
      <c r="H26" s="90" t="s">
        <v>787</v>
      </c>
      <c r="I26" s="89">
        <v>2</v>
      </c>
      <c r="J26" s="89" t="s">
        <v>286</v>
      </c>
      <c r="K26" s="88"/>
      <c r="L26" s="87"/>
      <c r="M26" s="87"/>
      <c r="N26" s="85" t="s">
        <v>179</v>
      </c>
      <c r="O26" s="85">
        <v>24</v>
      </c>
      <c r="P26" s="85" t="s">
        <v>45</v>
      </c>
      <c r="Q26" s="86" t="s">
        <v>56</v>
      </c>
    </row>
    <row r="27" spans="1:17" ht="24.95" customHeight="1" x14ac:dyDescent="0.25">
      <c r="A27" s="74" t="s">
        <v>174</v>
      </c>
      <c r="B27" s="92" t="str">
        <f>IF(I27="","Hide","Show")</f>
        <v>Show</v>
      </c>
      <c r="C27" s="74" t="str">
        <f>"""Ceres NTFB Live"",""NTFB Live"",""5767"",""1"",""Invt. Pick"",""2"",""ITPN-207488"",""3"",""40000"""</f>
        <v>"Ceres NTFB Live","NTFB Live","5767","1","Invt. Pick","2","ITPN-207488","3","40000"</v>
      </c>
      <c r="D27" s="89" t="s">
        <v>775</v>
      </c>
      <c r="E27" s="89" t="s">
        <v>1516</v>
      </c>
      <c r="F27" s="89" t="s">
        <v>1517</v>
      </c>
      <c r="G27" s="91" t="s">
        <v>1515</v>
      </c>
      <c r="H27" s="90" t="s">
        <v>1518</v>
      </c>
      <c r="I27" s="89">
        <v>4</v>
      </c>
      <c r="J27" s="89" t="s">
        <v>286</v>
      </c>
      <c r="K27" s="88"/>
      <c r="L27" s="87"/>
      <c r="M27" s="87"/>
      <c r="N27" s="85" t="s">
        <v>179</v>
      </c>
      <c r="O27" s="85">
        <v>184</v>
      </c>
      <c r="P27" s="85" t="s">
        <v>45</v>
      </c>
      <c r="Q27" s="86" t="s">
        <v>56</v>
      </c>
    </row>
    <row r="28" spans="1:17" ht="15.75" thickBot="1" x14ac:dyDescent="0.3">
      <c r="B28" s="74" t="str">
        <f>B26</f>
        <v>Show</v>
      </c>
      <c r="H28" s="85"/>
      <c r="I28" s="85"/>
    </row>
    <row r="29" spans="1:17" ht="15.75" thickBot="1" x14ac:dyDescent="0.3">
      <c r="B29" s="74" t="str">
        <f>+B28</f>
        <v>Show</v>
      </c>
      <c r="D29" s="193" t="str">
        <f>+"END OF "&amp;D2</f>
        <v>END OF HOMEWARD BOUND TRINITY CENTER  (026066RA1) - FRZ PICK LIST</v>
      </c>
      <c r="E29" s="194"/>
      <c r="F29" s="194"/>
      <c r="G29" s="194"/>
      <c r="H29" s="194"/>
      <c r="I29" s="194"/>
      <c r="J29" s="194"/>
      <c r="K29" s="194"/>
      <c r="L29" s="194"/>
      <c r="M29" s="195"/>
    </row>
    <row r="30" spans="1:17" ht="15.75" thickBot="1" x14ac:dyDescent="0.3"/>
    <row r="31" spans="1:17" ht="80.099999999999994" customHeight="1" thickBot="1" x14ac:dyDescent="0.3">
      <c r="A31" s="76" t="s">
        <v>30</v>
      </c>
      <c r="D31" s="166" t="str">
        <f>+F6</f>
        <v>PICKUP</v>
      </c>
      <c r="E31" s="167"/>
      <c r="F31" s="167"/>
      <c r="G31" s="167"/>
      <c r="H31" s="167"/>
      <c r="I31" s="167"/>
      <c r="J31" s="167"/>
      <c r="K31" s="167"/>
      <c r="L31" s="167"/>
      <c r="M31" s="168"/>
    </row>
    <row r="32" spans="1:17" ht="36.75" x14ac:dyDescent="0.45">
      <c r="A32" s="76" t="s">
        <v>30</v>
      </c>
      <c r="D32" s="176" t="s">
        <v>12</v>
      </c>
      <c r="E32" s="177"/>
      <c r="F32" s="196" t="str">
        <f>+F4</f>
        <v>026066RA1</v>
      </c>
      <c r="G32" s="196"/>
      <c r="H32" s="196"/>
      <c r="I32" s="196"/>
      <c r="J32" s="196"/>
      <c r="K32" s="196"/>
      <c r="L32" s="196"/>
      <c r="M32" s="197"/>
    </row>
    <row r="33" spans="1:16" ht="37.5" customHeight="1" thickBot="1" x14ac:dyDescent="0.5">
      <c r="A33" s="76" t="s">
        <v>30</v>
      </c>
      <c r="D33" s="158" t="s">
        <v>5</v>
      </c>
      <c r="E33" s="159"/>
      <c r="F33" s="161" t="str">
        <f>+F5</f>
        <v>HOMEWARD BOUND TRINITY CENTER</v>
      </c>
      <c r="G33" s="161"/>
      <c r="H33" s="161"/>
      <c r="I33" s="161"/>
      <c r="J33" s="161"/>
      <c r="K33" s="161"/>
      <c r="L33" s="161"/>
      <c r="M33" s="162"/>
      <c r="N33" s="84"/>
      <c r="O33" s="84"/>
      <c r="P33" s="84"/>
    </row>
    <row r="34" spans="1:16" ht="33.75" hidden="1" thickBot="1" x14ac:dyDescent="0.45">
      <c r="A34" s="76" t="s">
        <v>19</v>
      </c>
      <c r="D34" s="172" t="s">
        <v>49</v>
      </c>
      <c r="E34" s="173"/>
      <c r="F34" s="82"/>
      <c r="G34" s="83"/>
      <c r="H34" s="82"/>
      <c r="I34" s="82"/>
      <c r="J34" s="82"/>
      <c r="K34" s="82"/>
      <c r="L34" s="82"/>
      <c r="M34" s="81"/>
    </row>
    <row r="35" spans="1:16" ht="30" hidden="1" customHeight="1" x14ac:dyDescent="0.25">
      <c r="A35" s="76" t="s">
        <v>19</v>
      </c>
      <c r="D35" s="80"/>
      <c r="E35" s="78"/>
      <c r="F35" s="174" t="s">
        <v>1387</v>
      </c>
      <c r="G35" s="174"/>
      <c r="H35" s="174"/>
      <c r="I35" s="174"/>
      <c r="J35" s="174"/>
      <c r="K35" s="174"/>
      <c r="L35" s="174"/>
      <c r="M35" s="175"/>
    </row>
    <row r="36" spans="1:16" ht="15.75" hidden="1" customHeight="1" thickBot="1" x14ac:dyDescent="0.3">
      <c r="A36" s="76" t="s">
        <v>19</v>
      </c>
      <c r="D36" s="80"/>
      <c r="E36" s="78"/>
      <c r="F36" s="78"/>
      <c r="G36" s="79"/>
      <c r="H36" s="78"/>
      <c r="I36" s="78"/>
      <c r="J36" s="78"/>
      <c r="K36" s="78"/>
      <c r="L36" s="78"/>
      <c r="M36" s="77"/>
    </row>
    <row r="37" spans="1:16" ht="36.75" x14ac:dyDescent="0.45">
      <c r="A37" s="76" t="s">
        <v>30</v>
      </c>
      <c r="D37" s="176" t="s">
        <v>50</v>
      </c>
      <c r="E37" s="177"/>
      <c r="F37" s="178">
        <f>+F7</f>
        <v>42612</v>
      </c>
      <c r="G37" s="179"/>
      <c r="H37" s="179"/>
      <c r="I37" s="179"/>
      <c r="J37" s="179"/>
      <c r="K37" s="179"/>
      <c r="L37" s="179"/>
      <c r="M37" s="180"/>
    </row>
    <row r="38" spans="1:16" ht="37.5" thickBot="1" x14ac:dyDescent="0.5">
      <c r="A38" s="76" t="s">
        <v>30</v>
      </c>
      <c r="D38" s="158" t="s">
        <v>32</v>
      </c>
      <c r="E38" s="159"/>
      <c r="F38" s="160"/>
      <c r="G38" s="161"/>
      <c r="H38" s="161"/>
      <c r="I38" s="161"/>
      <c r="J38" s="161"/>
      <c r="K38" s="161"/>
      <c r="L38" s="161"/>
      <c r="M38" s="162"/>
    </row>
    <row r="39" spans="1:16" ht="80.099999999999994" customHeight="1" thickBot="1" x14ac:dyDescent="0.3">
      <c r="A39" s="76" t="s">
        <v>30</v>
      </c>
      <c r="D39" s="163" t="s">
        <v>51</v>
      </c>
      <c r="E39" s="164"/>
      <c r="F39" s="164"/>
      <c r="G39" s="164"/>
      <c r="H39" s="164"/>
      <c r="I39" s="164"/>
      <c r="J39" s="164"/>
      <c r="K39" s="164"/>
      <c r="L39" s="164"/>
      <c r="M39" s="165"/>
    </row>
    <row r="40" spans="1:16" ht="90" customHeight="1" thickBot="1" x14ac:dyDescent="0.3">
      <c r="A40" s="76" t="s">
        <v>30</v>
      </c>
      <c r="D40" s="166" t="str">
        <f>IF(F6="DELIVER",G6,F6)</f>
        <v>PICKUP</v>
      </c>
      <c r="E40" s="167"/>
      <c r="F40" s="167"/>
      <c r="G40" s="167"/>
      <c r="H40" s="167"/>
      <c r="I40" s="167"/>
      <c r="J40" s="167"/>
      <c r="K40" s="167"/>
      <c r="L40" s="167"/>
      <c r="M40" s="168"/>
    </row>
    <row r="41" spans="1:16" ht="60" customHeight="1" thickBot="1" x14ac:dyDescent="0.3">
      <c r="A41" s="76" t="s">
        <v>30</v>
      </c>
      <c r="D41" s="169" t="s">
        <v>55</v>
      </c>
      <c r="E41" s="170"/>
      <c r="F41" s="170"/>
      <c r="G41" s="170"/>
      <c r="H41" s="170"/>
      <c r="I41" s="170"/>
      <c r="J41" s="170"/>
      <c r="K41" s="170"/>
      <c r="L41" s="170"/>
      <c r="M41" s="171"/>
    </row>
  </sheetData>
  <mergeCells count="17">
    <mergeCell ref="D2:M2"/>
    <mergeCell ref="F17:M19"/>
    <mergeCell ref="D29:M29"/>
    <mergeCell ref="D31:M31"/>
    <mergeCell ref="D32:E32"/>
    <mergeCell ref="F32:M32"/>
    <mergeCell ref="D33:E33"/>
    <mergeCell ref="F33:M33"/>
    <mergeCell ref="D34:E34"/>
    <mergeCell ref="F35:M35"/>
    <mergeCell ref="D37:E37"/>
    <mergeCell ref="F37:M37"/>
    <mergeCell ref="D38:E38"/>
    <mergeCell ref="F38:M38"/>
    <mergeCell ref="D39:M39"/>
    <mergeCell ref="D40:M40"/>
    <mergeCell ref="D41:M41"/>
  </mergeCells>
  <conditionalFormatting sqref="F6">
    <cfRule type="cellIs" dxfId="159" priority="5" operator="equal">
      <formula>"DELIVER"</formula>
    </cfRule>
  </conditionalFormatting>
  <conditionalFormatting sqref="D31">
    <cfRule type="cellIs" dxfId="158" priority="4" operator="equal">
      <formula>"DELIVER"</formula>
    </cfRule>
  </conditionalFormatting>
  <conditionalFormatting sqref="D2:M2">
    <cfRule type="expression" dxfId="157" priority="3">
      <formula>$F$6="DELIVER"</formula>
    </cfRule>
  </conditionalFormatting>
  <conditionalFormatting sqref="G6">
    <cfRule type="expression" dxfId="156" priority="2">
      <formula>$F$6="DELIVER"</formula>
    </cfRule>
  </conditionalFormatting>
  <conditionalFormatting sqref="D40">
    <cfRule type="expression" dxfId="15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9" max="16383" man="1"/>
  </rowBreaks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1730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/>
      </c>
      <c r="C2" s="74" t="s">
        <v>7</v>
      </c>
      <c r="D2" s="181" t="str">
        <f>IF(E26="",F5&amp;"  ("&amp;F4&amp;") - NO "&amp;C25,F5&amp;"  ("&amp;F4&amp;") - "&amp;C25&amp;" PICK LIST")</f>
        <v>FBC ALLEN FOOD PANTRY  (026077P) - FRZ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"026077P"</f>
        <v>026077P</v>
      </c>
      <c r="E4" s="101" t="s">
        <v>37</v>
      </c>
      <c r="F4" s="105" t="str">
        <f>C4</f>
        <v>026077P</v>
      </c>
      <c r="K4" s="101" t="s">
        <v>42</v>
      </c>
      <c r="L4" s="104"/>
      <c r="M4" s="111">
        <f>SUM(I26:I30)</f>
        <v>18</v>
      </c>
    </row>
    <row r="5" spans="1:26" ht="18" customHeight="1" x14ac:dyDescent="0.25">
      <c r="B5" s="76" t="str">
        <f t="shared" si="0"/>
        <v>Show</v>
      </c>
      <c r="C5" s="109" t="s">
        <v>1414</v>
      </c>
      <c r="E5" s="101" t="s">
        <v>36</v>
      </c>
      <c r="F5" s="112" t="s">
        <v>1175</v>
      </c>
      <c r="K5" s="101" t="s">
        <v>43</v>
      </c>
      <c r="L5" s="104"/>
      <c r="M5" s="111">
        <f>ROUND(SUM(O26:O30),0)</f>
        <v>468</v>
      </c>
    </row>
    <row r="6" spans="1:26" ht="18" customHeight="1" x14ac:dyDescent="0.25">
      <c r="B6" s="76" t="str">
        <f t="shared" si="0"/>
        <v>Show</v>
      </c>
      <c r="C6" s="109" t="s">
        <v>1415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ROUND(COUNT(O26:O30),0)</f>
        <v>4</v>
      </c>
      <c r="P6" s="101"/>
      <c r="W6" s="101" t="str">
        <f>"ESTIMATED "&amp;O25&amp;"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E16</f>
        <v>A108014|A108014|A108248|A108014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F16</f>
        <v>ITPN-207441|ITPN-207442|ITPN-207462|ITPN-207441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B15</f>
        <v>Show</v>
      </c>
      <c r="C12" s="74" t="s">
        <v>1416</v>
      </c>
      <c r="E12" s="74" t="s">
        <v>1400</v>
      </c>
      <c r="F12" s="74" t="s">
        <v>1408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4" si="1">B16</f>
        <v>Show</v>
      </c>
      <c r="C13" s="74" t="str">
        <f>"""Ceres NTFB Live"",""NTFB Live"",""5766"",""1"",""Invt. Pick"",""2"",""ITPN-207442"""</f>
        <v>"Ceres NTFB Live","NTFB Live","5766","1","Invt. Pick","2","ITPN-207442"</v>
      </c>
      <c r="E13" s="74" t="s">
        <v>1400</v>
      </c>
      <c r="F13" s="74" t="s">
        <v>1409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Pick"",""2"",""ITPN-207462"""</f>
        <v>"Ceres NTFB Live","NTFB Live","5766","1","Invt. Pick","2","ITPN-207462"</v>
      </c>
      <c r="E14" s="74" t="s">
        <v>1410</v>
      </c>
      <c r="F14" s="74" t="s">
        <v>1411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ref="B15:B25" si="2">B16</f>
        <v>Show</v>
      </c>
      <c r="C15" s="74" t="s">
        <v>1400</v>
      </c>
      <c r="E15" s="74" t="str">
        <f>E12</f>
        <v>A108014</v>
      </c>
      <c r="F15" s="74" t="str">
        <f>F12</f>
        <v>ITPN-207441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6</v>
      </c>
      <c r="B16" s="76" t="str">
        <f t="shared" si="2"/>
        <v>Show</v>
      </c>
      <c r="E16" s="92" t="s">
        <v>1412</v>
      </c>
      <c r="F16" s="92" t="s">
        <v>1413</v>
      </c>
      <c r="I16" s="98"/>
      <c r="J16" s="98"/>
      <c r="K16" s="98"/>
      <c r="L16" s="98"/>
      <c r="M16" s="98"/>
    </row>
    <row r="17" spans="1:17" x14ac:dyDescent="0.25">
      <c r="B17" s="76" t="str">
        <f t="shared" si="2"/>
        <v>Show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x14ac:dyDescent="0.25">
      <c r="B18" s="76" t="str">
        <f t="shared" si="2"/>
        <v>Show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thickBot="1" x14ac:dyDescent="0.3">
      <c r="B19" s="76" t="str">
        <f t="shared" si="2"/>
        <v>Show</v>
      </c>
      <c r="F19" s="190"/>
      <c r="G19" s="191"/>
      <c r="H19" s="191"/>
      <c r="I19" s="191"/>
      <c r="J19" s="191"/>
      <c r="K19" s="191"/>
      <c r="L19" s="191"/>
      <c r="M19" s="192"/>
    </row>
    <row r="20" spans="1:17" x14ac:dyDescent="0.25">
      <c r="B20" s="76" t="str">
        <f t="shared" si="2"/>
        <v>Show</v>
      </c>
    </row>
    <row r="21" spans="1:17" x14ac:dyDescent="0.25">
      <c r="B21" s="76" t="str">
        <f t="shared" si="2"/>
        <v>Show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x14ac:dyDescent="0.25">
      <c r="B22" s="76" t="str">
        <f t="shared" si="2"/>
        <v>Show</v>
      </c>
      <c r="E22" s="101"/>
    </row>
    <row r="23" spans="1:17" x14ac:dyDescent="0.25">
      <c r="B23" s="76" t="str">
        <f t="shared" si="2"/>
        <v>Show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x14ac:dyDescent="0.25">
      <c r="B24" s="76" t="str">
        <f t="shared" si="2"/>
        <v>Show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customHeight="1" x14ac:dyDescent="0.25">
      <c r="A25" s="97"/>
      <c r="B25" s="76" t="str">
        <f t="shared" si="2"/>
        <v>Show</v>
      </c>
      <c r="C25" s="117" t="s">
        <v>45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customHeight="1" x14ac:dyDescent="0.25">
      <c r="B26" s="92" t="str">
        <f>IF(I26="","Hide","Show")</f>
        <v>Show</v>
      </c>
      <c r="C26" s="74" t="s">
        <v>1528</v>
      </c>
      <c r="D26" s="89" t="s">
        <v>781</v>
      </c>
      <c r="E26" s="89" t="s">
        <v>1520</v>
      </c>
      <c r="F26" s="89" t="s">
        <v>782</v>
      </c>
      <c r="G26" s="91" t="s">
        <v>1521</v>
      </c>
      <c r="H26" s="90" t="s">
        <v>783</v>
      </c>
      <c r="I26" s="89">
        <v>6</v>
      </c>
      <c r="J26" s="89" t="s">
        <v>286</v>
      </c>
      <c r="K26" s="88"/>
      <c r="L26" s="87"/>
      <c r="M26" s="87"/>
      <c r="N26" s="85" t="s">
        <v>179</v>
      </c>
      <c r="O26" s="85">
        <v>150</v>
      </c>
      <c r="P26" s="85" t="s">
        <v>45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ref="B27:B29" si="3">IF(I27="","Hide","Show")</f>
        <v>Show</v>
      </c>
      <c r="C27" s="74" t="str">
        <f>"""Ceres NTFB Live"",""NTFB Live"",""5767"",""1"",""Invt. Pick"",""2"",""ITPN-207462"",""3"",""20000"""</f>
        <v>"Ceres NTFB Live","NTFB Live","5767","1","Invt. Pick","2","ITPN-207462","3","20000"</v>
      </c>
      <c r="D27" s="89" t="s">
        <v>790</v>
      </c>
      <c r="E27" s="89" t="s">
        <v>1522</v>
      </c>
      <c r="F27" s="89" t="s">
        <v>788</v>
      </c>
      <c r="G27" s="91" t="s">
        <v>1521</v>
      </c>
      <c r="H27" s="90" t="s">
        <v>789</v>
      </c>
      <c r="I27" s="89">
        <v>6</v>
      </c>
      <c r="J27" s="89" t="s">
        <v>286</v>
      </c>
      <c r="K27" s="88"/>
      <c r="L27" s="87"/>
      <c r="M27" s="87"/>
      <c r="N27" s="85" t="s">
        <v>179</v>
      </c>
      <c r="O27" s="85">
        <v>144</v>
      </c>
      <c r="P27" s="85" t="s">
        <v>45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3"/>
        <v>Show</v>
      </c>
      <c r="C28" s="74" t="str">
        <f>"""Ceres NTFB Live"",""NTFB Live"",""5767"",""1"",""Invt. Pick"",""2"",""ITPN-207462"",""3"",""50000"""</f>
        <v>"Ceres NTFB Live","NTFB Live","5767","1","Invt. Pick","2","ITPN-207462","3","50000"</v>
      </c>
      <c r="D28" s="89" t="s">
        <v>793</v>
      </c>
      <c r="E28" s="89" t="s">
        <v>1523</v>
      </c>
      <c r="F28" s="89" t="s">
        <v>1524</v>
      </c>
      <c r="G28" s="91" t="s">
        <v>1521</v>
      </c>
      <c r="H28" s="90" t="s">
        <v>1525</v>
      </c>
      <c r="I28" s="89">
        <v>5</v>
      </c>
      <c r="J28" s="89" t="s">
        <v>286</v>
      </c>
      <c r="K28" s="88"/>
      <c r="L28" s="87"/>
      <c r="M28" s="87"/>
      <c r="N28" s="85" t="s">
        <v>179</v>
      </c>
      <c r="O28" s="85">
        <v>145</v>
      </c>
      <c r="P28" s="85" t="s">
        <v>45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si="3"/>
        <v>Show</v>
      </c>
      <c r="C29" s="74" t="str">
        <f>"""Ceres NTFB Live"",""NTFB Live"",""5767"",""1"",""Invt. Pick"",""2"",""ITPN-207462"",""3"",""30000"""</f>
        <v>"Ceres NTFB Live","NTFB Live","5767","1","Invt. Pick","2","ITPN-207462","3","30000"</v>
      </c>
      <c r="D29" s="89" t="s">
        <v>1526</v>
      </c>
      <c r="E29" s="89" t="s">
        <v>1527</v>
      </c>
      <c r="F29" s="89" t="s">
        <v>1524</v>
      </c>
      <c r="G29" s="91" t="s">
        <v>1521</v>
      </c>
      <c r="H29" s="90" t="s">
        <v>1525</v>
      </c>
      <c r="I29" s="89">
        <v>1</v>
      </c>
      <c r="J29" s="89" t="s">
        <v>286</v>
      </c>
      <c r="K29" s="88"/>
      <c r="L29" s="87"/>
      <c r="M29" s="87"/>
      <c r="N29" s="85" t="s">
        <v>179</v>
      </c>
      <c r="O29" s="85">
        <v>29</v>
      </c>
      <c r="P29" s="85" t="s">
        <v>45</v>
      </c>
      <c r="Q29" s="86" t="s">
        <v>56</v>
      </c>
    </row>
    <row r="30" spans="1:17" ht="15.75" thickBot="1" x14ac:dyDescent="0.3">
      <c r="B30" s="74" t="str">
        <f>B26</f>
        <v>Show</v>
      </c>
      <c r="H30" s="85"/>
      <c r="I30" s="85"/>
    </row>
    <row r="31" spans="1:17" ht="15.75" thickBot="1" x14ac:dyDescent="0.3">
      <c r="B31" s="74" t="str">
        <f>+B30</f>
        <v>Show</v>
      </c>
      <c r="D31" s="193" t="str">
        <f>+"END OF "&amp;D2</f>
        <v>END OF FBC ALLEN FOOD PANTRY  (026077P) - FRZ PICK LIST</v>
      </c>
      <c r="E31" s="194"/>
      <c r="F31" s="194"/>
      <c r="G31" s="194"/>
      <c r="H31" s="194"/>
      <c r="I31" s="194"/>
      <c r="J31" s="194"/>
      <c r="K31" s="194"/>
      <c r="L31" s="194"/>
      <c r="M31" s="195"/>
    </row>
    <row r="32" spans="1:17" ht="15.75" thickBot="1" x14ac:dyDescent="0.3"/>
    <row r="33" spans="1:16" ht="80.099999999999994" customHeight="1" thickBot="1" x14ac:dyDescent="0.3">
      <c r="A33" s="76" t="s">
        <v>30</v>
      </c>
      <c r="D33" s="166" t="str">
        <f>+F6</f>
        <v>DELIVER</v>
      </c>
      <c r="E33" s="167"/>
      <c r="F33" s="167"/>
      <c r="G33" s="167"/>
      <c r="H33" s="167"/>
      <c r="I33" s="167"/>
      <c r="J33" s="167"/>
      <c r="K33" s="167"/>
      <c r="L33" s="167"/>
      <c r="M33" s="168"/>
    </row>
    <row r="34" spans="1:16" ht="36.75" x14ac:dyDescent="0.45">
      <c r="A34" s="76" t="s">
        <v>30</v>
      </c>
      <c r="D34" s="176" t="s">
        <v>12</v>
      </c>
      <c r="E34" s="177"/>
      <c r="F34" s="196" t="str">
        <f>+F4</f>
        <v>026077P</v>
      </c>
      <c r="G34" s="196"/>
      <c r="H34" s="196"/>
      <c r="I34" s="196"/>
      <c r="J34" s="196"/>
      <c r="K34" s="196"/>
      <c r="L34" s="196"/>
      <c r="M34" s="197"/>
    </row>
    <row r="35" spans="1:16" ht="37.5" customHeight="1" thickBot="1" x14ac:dyDescent="0.5">
      <c r="A35" s="76" t="s">
        <v>30</v>
      </c>
      <c r="D35" s="158" t="s">
        <v>5</v>
      </c>
      <c r="E35" s="159"/>
      <c r="F35" s="161" t="str">
        <f>+F5</f>
        <v>FBC ALLEN FOOD PANTRY</v>
      </c>
      <c r="G35" s="161"/>
      <c r="H35" s="161"/>
      <c r="I35" s="161"/>
      <c r="J35" s="161"/>
      <c r="K35" s="161"/>
      <c r="L35" s="161"/>
      <c r="M35" s="162"/>
      <c r="N35" s="84"/>
      <c r="O35" s="84"/>
      <c r="P35" s="84"/>
    </row>
    <row r="36" spans="1:16" ht="33.75" hidden="1" thickBot="1" x14ac:dyDescent="0.45">
      <c r="A36" s="76" t="s">
        <v>19</v>
      </c>
      <c r="D36" s="172" t="s">
        <v>49</v>
      </c>
      <c r="E36" s="173"/>
      <c r="F36" s="82"/>
      <c r="G36" s="83"/>
      <c r="H36" s="82"/>
      <c r="I36" s="82"/>
      <c r="J36" s="82"/>
      <c r="K36" s="82"/>
      <c r="L36" s="82"/>
      <c r="M36" s="81"/>
    </row>
    <row r="37" spans="1:16" ht="30" hidden="1" customHeight="1" x14ac:dyDescent="0.25">
      <c r="A37" s="76" t="s">
        <v>19</v>
      </c>
      <c r="D37" s="80"/>
      <c r="E37" s="78"/>
      <c r="F37" s="174" t="s">
        <v>1400</v>
      </c>
      <c r="G37" s="174"/>
      <c r="H37" s="174"/>
      <c r="I37" s="174"/>
      <c r="J37" s="174"/>
      <c r="K37" s="174"/>
      <c r="L37" s="174"/>
      <c r="M37" s="175"/>
    </row>
    <row r="38" spans="1:16" ht="30" hidden="1" customHeight="1" x14ac:dyDescent="0.25">
      <c r="A38" s="76" t="s">
        <v>184</v>
      </c>
      <c r="D38" s="80"/>
      <c r="E38" s="78"/>
      <c r="F38" s="174" t="str">
        <f>"A108248"</f>
        <v>A108248</v>
      </c>
      <c r="G38" s="174"/>
      <c r="H38" s="174"/>
      <c r="I38" s="174"/>
      <c r="J38" s="174"/>
      <c r="K38" s="174"/>
      <c r="L38" s="174"/>
      <c r="M38" s="175"/>
    </row>
    <row r="39" spans="1:16" ht="15.75" hidden="1" customHeight="1" thickBot="1" x14ac:dyDescent="0.3">
      <c r="A39" s="76" t="s">
        <v>19</v>
      </c>
      <c r="D39" s="80"/>
      <c r="E39" s="78"/>
      <c r="F39" s="78"/>
      <c r="G39" s="79"/>
      <c r="H39" s="78"/>
      <c r="I39" s="78"/>
      <c r="J39" s="78"/>
      <c r="K39" s="78"/>
      <c r="L39" s="78"/>
      <c r="M39" s="77"/>
    </row>
    <row r="40" spans="1:16" ht="36.75" x14ac:dyDescent="0.45">
      <c r="A40" s="76" t="s">
        <v>30</v>
      </c>
      <c r="D40" s="176" t="s">
        <v>50</v>
      </c>
      <c r="E40" s="177"/>
      <c r="F40" s="178">
        <f>+F7</f>
        <v>42612</v>
      </c>
      <c r="G40" s="179"/>
      <c r="H40" s="179"/>
      <c r="I40" s="179"/>
      <c r="J40" s="179"/>
      <c r="K40" s="179"/>
      <c r="L40" s="179"/>
      <c r="M40" s="180"/>
    </row>
    <row r="41" spans="1:16" ht="37.5" thickBot="1" x14ac:dyDescent="0.5">
      <c r="A41" s="76" t="s">
        <v>30</v>
      </c>
      <c r="D41" s="158" t="s">
        <v>32</v>
      </c>
      <c r="E41" s="159"/>
      <c r="F41" s="160"/>
      <c r="G41" s="161"/>
      <c r="H41" s="161"/>
      <c r="I41" s="161"/>
      <c r="J41" s="161"/>
      <c r="K41" s="161"/>
      <c r="L41" s="161"/>
      <c r="M41" s="162"/>
    </row>
    <row r="42" spans="1:16" ht="80.099999999999994" customHeight="1" thickBot="1" x14ac:dyDescent="0.3">
      <c r="A42" s="76" t="s">
        <v>30</v>
      </c>
      <c r="D42" s="163" t="s">
        <v>51</v>
      </c>
      <c r="E42" s="164"/>
      <c r="F42" s="164"/>
      <c r="G42" s="164"/>
      <c r="H42" s="164"/>
      <c r="I42" s="164"/>
      <c r="J42" s="164"/>
      <c r="K42" s="164"/>
      <c r="L42" s="164"/>
      <c r="M42" s="165"/>
    </row>
    <row r="43" spans="1:16" ht="90" customHeight="1" thickBot="1" x14ac:dyDescent="0.3">
      <c r="A43" s="76" t="s">
        <v>30</v>
      </c>
      <c r="D43" s="166" t="str">
        <f>IF(F6="DELIVER",G6,F6)</f>
        <v>COLLIN 1</v>
      </c>
      <c r="E43" s="167"/>
      <c r="F43" s="167"/>
      <c r="G43" s="167"/>
      <c r="H43" s="167"/>
      <c r="I43" s="167"/>
      <c r="J43" s="167"/>
      <c r="K43" s="167"/>
      <c r="L43" s="167"/>
      <c r="M43" s="168"/>
    </row>
    <row r="44" spans="1:16" ht="60" customHeight="1" thickBot="1" x14ac:dyDescent="0.3">
      <c r="A44" s="76" t="s">
        <v>30</v>
      </c>
      <c r="D44" s="169" t="s">
        <v>55</v>
      </c>
      <c r="E44" s="170"/>
      <c r="F44" s="170"/>
      <c r="G44" s="170"/>
      <c r="H44" s="170"/>
      <c r="I44" s="170"/>
      <c r="J44" s="170"/>
      <c r="K44" s="170"/>
      <c r="L44" s="170"/>
      <c r="M44" s="171"/>
    </row>
  </sheetData>
  <mergeCells count="18">
    <mergeCell ref="D40:E40"/>
    <mergeCell ref="F40:M40"/>
    <mergeCell ref="D2:M2"/>
    <mergeCell ref="F17:M19"/>
    <mergeCell ref="D31:M31"/>
    <mergeCell ref="D33:M33"/>
    <mergeCell ref="D34:E34"/>
    <mergeCell ref="F34:M34"/>
    <mergeCell ref="F38:M38"/>
    <mergeCell ref="D35:E35"/>
    <mergeCell ref="F35:M35"/>
    <mergeCell ref="D36:E36"/>
    <mergeCell ref="F37:M37"/>
    <mergeCell ref="D41:E41"/>
    <mergeCell ref="F41:M41"/>
    <mergeCell ref="D42:M42"/>
    <mergeCell ref="D43:M43"/>
    <mergeCell ref="D44:M44"/>
  </mergeCells>
  <conditionalFormatting sqref="F6">
    <cfRule type="cellIs" dxfId="154" priority="5" operator="equal">
      <formula>"DELIVER"</formula>
    </cfRule>
  </conditionalFormatting>
  <conditionalFormatting sqref="D33">
    <cfRule type="cellIs" dxfId="153" priority="4" operator="equal">
      <formula>"DELIVER"</formula>
    </cfRule>
  </conditionalFormatting>
  <conditionalFormatting sqref="D2:M2">
    <cfRule type="expression" dxfId="152" priority="3">
      <formula>$F$6="DELIVER"</formula>
    </cfRule>
  </conditionalFormatting>
  <conditionalFormatting sqref="G6">
    <cfRule type="expression" dxfId="151" priority="2">
      <formula>$F$6="DELIVER"</formula>
    </cfRule>
  </conditionalFormatting>
  <conditionalFormatting sqref="D43">
    <cfRule type="expression" dxfId="15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1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1560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HIGHLAND OAKS CHURCH OF CHRIST  (002098P)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"002098P"</f>
        <v>002098P</v>
      </c>
      <c r="E4" s="101" t="s">
        <v>37</v>
      </c>
      <c r="F4" s="105" t="str">
        <f>C4</f>
        <v>002098P</v>
      </c>
      <c r="K4" s="101" t="s">
        <v>42</v>
      </c>
      <c r="L4" s="104"/>
      <c r="M4" s="111">
        <f>SUM(I25:I32)</f>
        <v>43</v>
      </c>
    </row>
    <row r="5" spans="1:26" ht="18" customHeight="1" x14ac:dyDescent="0.25">
      <c r="B5" s="76" t="str">
        <f t="shared" si="0"/>
        <v>Show</v>
      </c>
      <c r="C5" s="109" t="s">
        <v>1240</v>
      </c>
      <c r="E5" s="101" t="s">
        <v>36</v>
      </c>
      <c r="F5" s="112" t="s">
        <v>1193</v>
      </c>
      <c r="K5" s="101" t="s">
        <v>43</v>
      </c>
      <c r="L5" s="104"/>
      <c r="M5" s="111">
        <f>ROUND(SUM(O25:O32),0)</f>
        <v>970</v>
      </c>
    </row>
    <row r="6" spans="1:26" ht="18" customHeight="1" x14ac:dyDescent="0.25">
      <c r="B6" s="76" t="str">
        <f t="shared" si="0"/>
        <v>Show</v>
      </c>
      <c r="C6" s="109" t="s">
        <v>1241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ROUND(COUNT(O25:O32),0)</f>
        <v>7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A108356|A108356|A108356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ITPN-207476|ITPN-207478|ITPN-207476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1240</v>
      </c>
      <c r="E12" s="74" t="s">
        <v>1235</v>
      </c>
      <c r="F12" s="74" t="s">
        <v>1236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Pick"",""2"",""ITPN-207478"""</f>
        <v>"Ceres NTFB Live","NTFB Live","5766","1","Invt. Pick","2","ITPN-207478"</v>
      </c>
      <c r="E13" s="74" t="s">
        <v>1235</v>
      </c>
      <c r="F13" s="74" t="s">
        <v>1237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1235</v>
      </c>
      <c r="E14" s="74" t="str">
        <f>E12</f>
        <v>A108356</v>
      </c>
      <c r="F14" s="74" t="str">
        <f>F12</f>
        <v>ITPN-207476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1238</v>
      </c>
      <c r="F15" s="92" t="s">
        <v>1239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96" t="s">
        <v>79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1244</v>
      </c>
      <c r="D25" s="89" t="str">
        <f>"04-27-01"</f>
        <v>04-27-01</v>
      </c>
      <c r="E25" s="89" t="str">
        <f>"P00193738"</f>
        <v>P00193738</v>
      </c>
      <c r="F25" s="89" t="str">
        <f>"1000002472"</f>
        <v>1000002472</v>
      </c>
      <c r="G25" s="91" t="s">
        <v>1242</v>
      </c>
      <c r="H25" s="90" t="str">
        <f>"SAUCE, TURKEY GRAVY, CAMPBELL"</f>
        <v>SAUCE, TURKEY GRAVY, CAMPBELL</v>
      </c>
      <c r="I25" s="89">
        <v>10</v>
      </c>
      <c r="J25" s="89" t="str">
        <f t="shared" ref="J25:J31" si="2">"CS"</f>
        <v>CS</v>
      </c>
      <c r="K25" s="88"/>
      <c r="L25" s="87"/>
      <c r="M25" s="87"/>
      <c r="N25" s="85" t="s">
        <v>179</v>
      </c>
      <c r="O25" s="85">
        <v>250</v>
      </c>
      <c r="P25" s="85" t="str">
        <f>"DRY"</f>
        <v>DRY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31" si="3">IF(I26="","Hide","Show")</f>
        <v>Show</v>
      </c>
      <c r="C26" s="74" t="str">
        <f>"""Ceres NTFB Live"",""NTFB Live"",""5767"",""1"",""Invt. Pick"",""2"",""ITPN-207476"",""3"",""40000"""</f>
        <v>"Ceres NTFB Live","NTFB Live","5767","1","Invt. Pick","2","ITPN-207476","3","40000"</v>
      </c>
      <c r="D26" s="89" t="str">
        <f>"06-25-01"</f>
        <v>06-25-01</v>
      </c>
      <c r="E26" s="89" t="str">
        <f>"P00194650"</f>
        <v>P00194650</v>
      </c>
      <c r="F26" s="89" t="str">
        <f>"1000000429"</f>
        <v>1000000429</v>
      </c>
      <c r="G26" s="91" t="s">
        <v>1242</v>
      </c>
      <c r="H26" s="90" t="str">
        <f>"USDA CEREAL, CORNFLAKES (449)"</f>
        <v>USDA CEREAL, CORNFLAKES (449)</v>
      </c>
      <c r="I26" s="89">
        <v>10</v>
      </c>
      <c r="J26" s="89" t="str">
        <f t="shared" si="2"/>
        <v>CS</v>
      </c>
      <c r="K26" s="88"/>
      <c r="L26" s="87"/>
      <c r="M26" s="87"/>
      <c r="N26" s="85" t="s">
        <v>179</v>
      </c>
      <c r="O26" s="85">
        <v>150</v>
      </c>
      <c r="P26" s="85" t="str">
        <f>"DRY"</f>
        <v>DRY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3"/>
        <v>Show</v>
      </c>
      <c r="C27" s="74" t="str">
        <f>"""Ceres NTFB Live"",""NTFB Live"",""5767"",""1"",""Invt. Pick"",""2"",""ITPN-207478"",""3"",""51000"""</f>
        <v>"Ceres NTFB Live","NTFB Live","5767","1","Invt. Pick","2","ITPN-207478","3","51000"</v>
      </c>
      <c r="D27" s="89" t="str">
        <f>"33-03-01"</f>
        <v>33-03-01</v>
      </c>
      <c r="E27" s="89" t="str">
        <f>"P00187848"</f>
        <v>P00187848</v>
      </c>
      <c r="F27" s="89" t="str">
        <f>"1000000005"</f>
        <v>1000000005</v>
      </c>
      <c r="G27" s="91" t="s">
        <v>1243</v>
      </c>
      <c r="H27" s="90" t="str">
        <f>"USDA RICE"</f>
        <v>USDA RICE</v>
      </c>
      <c r="I27" s="89">
        <v>3</v>
      </c>
      <c r="J27" s="89" t="str">
        <f t="shared" si="2"/>
        <v>CS</v>
      </c>
      <c r="K27" s="88"/>
      <c r="L27" s="87"/>
      <c r="M27" s="87"/>
      <c r="N27" s="85" t="s">
        <v>179</v>
      </c>
      <c r="O27" s="85">
        <v>180</v>
      </c>
      <c r="P27" s="85" t="str">
        <f>"DRYUSDA"</f>
        <v>DRYUSDA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3"/>
        <v>Show</v>
      </c>
      <c r="C28" s="74" t="str">
        <f>"""Ceres NTFB Live"",""NTFB Live"",""5767"",""1"",""Invt. Pick"",""2"",""ITPN-207476"",""3"",""60000"""</f>
        <v>"Ceres NTFB Live","NTFB Live","5767","1","Invt. Pick","2","ITPN-207476","3","60000"</v>
      </c>
      <c r="D28" s="89" t="str">
        <f>"35-10-01"</f>
        <v>35-10-01</v>
      </c>
      <c r="E28" s="89" t="str">
        <f>"P00187274"</f>
        <v>P00187274</v>
      </c>
      <c r="F28" s="89" t="str">
        <f>"1000000217"</f>
        <v>1000000217</v>
      </c>
      <c r="G28" s="91" t="s">
        <v>1242</v>
      </c>
      <c r="H28" s="90" t="str">
        <f>"USDA PEANUT BUTTER (395)"</f>
        <v>USDA PEANUT BUTTER (395)</v>
      </c>
      <c r="I28" s="89">
        <v>1</v>
      </c>
      <c r="J28" s="89" t="str">
        <f t="shared" si="2"/>
        <v>CS</v>
      </c>
      <c r="K28" s="88"/>
      <c r="L28" s="87"/>
      <c r="M28" s="87"/>
      <c r="N28" s="85" t="s">
        <v>179</v>
      </c>
      <c r="O28" s="85">
        <v>14</v>
      </c>
      <c r="P28" s="85" t="str">
        <f>"DRYUSDA"</f>
        <v>DRYUSDA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si="3"/>
        <v>Show</v>
      </c>
      <c r="C29" s="74" t="str">
        <f>"""Ceres NTFB Live"",""NTFB Live"",""5767"",""1"",""Invt. Pick"",""2"",""ITPN-207478"",""3"",""70000"""</f>
        <v>"Ceres NTFB Live","NTFB Live","5767","1","Invt. Pick","2","ITPN-207478","3","70000"</v>
      </c>
      <c r="D29" s="89" t="str">
        <f>"36-04-01"</f>
        <v>36-04-01</v>
      </c>
      <c r="E29" s="89" t="str">
        <f>"P00192118"</f>
        <v>P00192118</v>
      </c>
      <c r="F29" s="89" t="str">
        <f>"1000000562"</f>
        <v>1000000562</v>
      </c>
      <c r="G29" s="91" t="s">
        <v>1243</v>
      </c>
      <c r="H29" s="90" t="str">
        <f>"USDA SPAGHETTI, WHOLE WHEAT "</f>
        <v xml:space="preserve">USDA SPAGHETTI, WHOLE WHEAT </v>
      </c>
      <c r="I29" s="89">
        <v>7</v>
      </c>
      <c r="J29" s="89" t="str">
        <f t="shared" si="2"/>
        <v>CS</v>
      </c>
      <c r="K29" s="88"/>
      <c r="L29" s="87"/>
      <c r="M29" s="87"/>
      <c r="N29" s="85" t="s">
        <v>179</v>
      </c>
      <c r="O29" s="85">
        <v>175</v>
      </c>
      <c r="P29" s="85" t="str">
        <f>"DRYUSDA"</f>
        <v>DRYUSDA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3"/>
        <v>Show</v>
      </c>
      <c r="C30" s="74" t="str">
        <f>"""Ceres NTFB Live"",""NTFB Live"",""5767"",""1"",""Invt. Pick"",""2"",""ITPN-207476"",""3"",""50000"""</f>
        <v>"Ceres NTFB Live","NTFB Live","5767","1","Invt. Pick","2","ITPN-207476","3","50000"</v>
      </c>
      <c r="D30" s="89" t="str">
        <f>"36-09-01"</f>
        <v>36-09-01</v>
      </c>
      <c r="E30" s="89" t="str">
        <f>"P00192117"</f>
        <v>P00192117</v>
      </c>
      <c r="F30" s="89" t="str">
        <f>"1000000562"</f>
        <v>1000000562</v>
      </c>
      <c r="G30" s="91" t="s">
        <v>1242</v>
      </c>
      <c r="H30" s="90" t="str">
        <f>"USDA SPAGHETTI, WHOLE WHEAT "</f>
        <v xml:space="preserve">USDA SPAGHETTI, WHOLE WHEAT </v>
      </c>
      <c r="I30" s="89">
        <v>3</v>
      </c>
      <c r="J30" s="89" t="str">
        <f t="shared" si="2"/>
        <v>CS</v>
      </c>
      <c r="K30" s="88"/>
      <c r="L30" s="87"/>
      <c r="M30" s="87"/>
      <c r="N30" s="85" t="s">
        <v>179</v>
      </c>
      <c r="O30" s="85">
        <v>75</v>
      </c>
      <c r="P30" s="85" t="str">
        <f>"DRYUSDA"</f>
        <v>DRYUSDA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si="3"/>
        <v>Show</v>
      </c>
      <c r="C31" s="74" t="str">
        <f>"""Ceres NTFB Live"",""NTFB Live"",""5767"",""1"",""Invt. Pick"",""2"",""ITPN-207478"",""3"",""81000"""</f>
        <v>"Ceres NTFB Live","NTFB Live","5767","1","Invt. Pick","2","ITPN-207478","3","81000"</v>
      </c>
      <c r="D31" s="89" t="str">
        <f>"36-11-01"</f>
        <v>36-11-01</v>
      </c>
      <c r="E31" s="89" t="str">
        <f>"P00187275"</f>
        <v>P00187275</v>
      </c>
      <c r="F31" s="89" t="str">
        <f>"1000000217"</f>
        <v>1000000217</v>
      </c>
      <c r="G31" s="91" t="s">
        <v>1243</v>
      </c>
      <c r="H31" s="90" t="str">
        <f>"USDA PEANUT BUTTER (395)"</f>
        <v>USDA PEANUT BUTTER (395)</v>
      </c>
      <c r="I31" s="89">
        <v>9</v>
      </c>
      <c r="J31" s="89" t="str">
        <f t="shared" si="2"/>
        <v>CS</v>
      </c>
      <c r="K31" s="88"/>
      <c r="L31" s="87"/>
      <c r="M31" s="87"/>
      <c r="N31" s="85" t="s">
        <v>179</v>
      </c>
      <c r="O31" s="85">
        <v>126</v>
      </c>
      <c r="P31" s="85" t="str">
        <f>"DRYUSDA"</f>
        <v>DRYUSDA</v>
      </c>
      <c r="Q31" s="86" t="s">
        <v>56</v>
      </c>
    </row>
    <row r="32" spans="1:17" ht="15.75" thickBot="1" x14ac:dyDescent="0.3">
      <c r="B32" s="74" t="str">
        <f>B25</f>
        <v>Show</v>
      </c>
      <c r="H32" s="85"/>
      <c r="I32" s="85"/>
    </row>
    <row r="33" spans="1:16" ht="15.75" thickBot="1" x14ac:dyDescent="0.3">
      <c r="B33" s="74" t="str">
        <f>+B32</f>
        <v>Show</v>
      </c>
      <c r="D33" s="193" t="str">
        <f>+"END OF "&amp;D2</f>
        <v>END OF HIGHLAND OAKS CHURCH OF CHRIST  (002098P) - DRY|DRYUSDA|MCTF PICK LIST</v>
      </c>
      <c r="E33" s="194"/>
      <c r="F33" s="194"/>
      <c r="G33" s="194"/>
      <c r="H33" s="194"/>
      <c r="I33" s="194"/>
      <c r="J33" s="194"/>
      <c r="K33" s="194"/>
      <c r="L33" s="194"/>
      <c r="M33" s="195"/>
    </row>
    <row r="34" spans="1:16" ht="15.75" thickBot="1" x14ac:dyDescent="0.3"/>
    <row r="35" spans="1:16" ht="80.099999999999994" customHeight="1" thickBot="1" x14ac:dyDescent="0.3">
      <c r="A35" s="76" t="s">
        <v>30</v>
      </c>
      <c r="D35" s="166" t="str">
        <f>+F6</f>
        <v>PICKUP</v>
      </c>
      <c r="E35" s="167"/>
      <c r="F35" s="167"/>
      <c r="G35" s="167"/>
      <c r="H35" s="167"/>
      <c r="I35" s="167"/>
      <c r="J35" s="167"/>
      <c r="K35" s="167"/>
      <c r="L35" s="167"/>
      <c r="M35" s="168"/>
    </row>
    <row r="36" spans="1:16" ht="36.75" x14ac:dyDescent="0.45">
      <c r="A36" s="76" t="s">
        <v>30</v>
      </c>
      <c r="D36" s="176" t="s">
        <v>12</v>
      </c>
      <c r="E36" s="177"/>
      <c r="F36" s="196" t="str">
        <f>+F4</f>
        <v>002098P</v>
      </c>
      <c r="G36" s="196"/>
      <c r="H36" s="196"/>
      <c r="I36" s="196"/>
      <c r="J36" s="196"/>
      <c r="K36" s="196"/>
      <c r="L36" s="196"/>
      <c r="M36" s="197"/>
    </row>
    <row r="37" spans="1:16" ht="37.5" customHeight="1" thickBot="1" x14ac:dyDescent="0.5">
      <c r="A37" s="76" t="s">
        <v>30</v>
      </c>
      <c r="D37" s="158" t="s">
        <v>5</v>
      </c>
      <c r="E37" s="159"/>
      <c r="F37" s="161" t="str">
        <f>+F5</f>
        <v>HIGHLAND OAKS CHURCH OF CHRIST</v>
      </c>
      <c r="G37" s="161"/>
      <c r="H37" s="161"/>
      <c r="I37" s="161"/>
      <c r="J37" s="161"/>
      <c r="K37" s="161"/>
      <c r="L37" s="161"/>
      <c r="M37" s="162"/>
      <c r="N37" s="84"/>
      <c r="O37" s="84"/>
      <c r="P37" s="84"/>
    </row>
    <row r="38" spans="1:16" ht="33.75" hidden="1" thickBot="1" x14ac:dyDescent="0.45">
      <c r="A38" s="76" t="s">
        <v>19</v>
      </c>
      <c r="D38" s="172" t="s">
        <v>49</v>
      </c>
      <c r="E38" s="173"/>
      <c r="F38" s="82"/>
      <c r="G38" s="83"/>
      <c r="H38" s="82"/>
      <c r="I38" s="82"/>
      <c r="J38" s="82"/>
      <c r="K38" s="82"/>
      <c r="L38" s="82"/>
      <c r="M38" s="81"/>
    </row>
    <row r="39" spans="1:16" ht="30" hidden="1" customHeight="1" x14ac:dyDescent="0.25">
      <c r="A39" s="76" t="s">
        <v>19</v>
      </c>
      <c r="D39" s="80"/>
      <c r="E39" s="78"/>
      <c r="F39" s="174" t="s">
        <v>1235</v>
      </c>
      <c r="G39" s="174"/>
      <c r="H39" s="174"/>
      <c r="I39" s="174"/>
      <c r="J39" s="174"/>
      <c r="K39" s="174"/>
      <c r="L39" s="174"/>
      <c r="M39" s="175"/>
    </row>
    <row r="40" spans="1:16" ht="15.75" hidden="1" customHeight="1" thickBot="1" x14ac:dyDescent="0.3">
      <c r="A40" s="76" t="s">
        <v>19</v>
      </c>
      <c r="D40" s="80"/>
      <c r="E40" s="78"/>
      <c r="F40" s="78"/>
      <c r="G40" s="79"/>
      <c r="H40" s="78"/>
      <c r="I40" s="78"/>
      <c r="J40" s="78"/>
      <c r="K40" s="78"/>
      <c r="L40" s="78"/>
      <c r="M40" s="77"/>
    </row>
    <row r="41" spans="1:16" ht="36.75" x14ac:dyDescent="0.45">
      <c r="A41" s="76" t="s">
        <v>30</v>
      </c>
      <c r="D41" s="176" t="s">
        <v>50</v>
      </c>
      <c r="E41" s="177"/>
      <c r="F41" s="178">
        <f>+F7</f>
        <v>42612</v>
      </c>
      <c r="G41" s="179"/>
      <c r="H41" s="179"/>
      <c r="I41" s="179"/>
      <c r="J41" s="179"/>
      <c r="K41" s="179"/>
      <c r="L41" s="179"/>
      <c r="M41" s="180"/>
    </row>
    <row r="42" spans="1:16" ht="37.5" thickBot="1" x14ac:dyDescent="0.5">
      <c r="A42" s="76" t="s">
        <v>30</v>
      </c>
      <c r="D42" s="158" t="s">
        <v>32</v>
      </c>
      <c r="E42" s="159"/>
      <c r="F42" s="160"/>
      <c r="G42" s="161"/>
      <c r="H42" s="161"/>
      <c r="I42" s="161"/>
      <c r="J42" s="161"/>
      <c r="K42" s="161"/>
      <c r="L42" s="161"/>
      <c r="M42" s="162"/>
    </row>
    <row r="43" spans="1:16" ht="80.099999999999994" customHeight="1" thickBot="1" x14ac:dyDescent="0.3">
      <c r="A43" s="76" t="s">
        <v>30</v>
      </c>
      <c r="D43" s="163" t="s">
        <v>51</v>
      </c>
      <c r="E43" s="164"/>
      <c r="F43" s="164"/>
      <c r="G43" s="164"/>
      <c r="H43" s="164"/>
      <c r="I43" s="164"/>
      <c r="J43" s="164"/>
      <c r="K43" s="164"/>
      <c r="L43" s="164"/>
      <c r="M43" s="165"/>
    </row>
    <row r="44" spans="1:16" ht="90" customHeight="1" thickBot="1" x14ac:dyDescent="0.3">
      <c r="A44" s="76" t="s">
        <v>30</v>
      </c>
      <c r="D44" s="166" t="str">
        <f>IF(F6="DELIVER",G6,F6)</f>
        <v>PICKUP</v>
      </c>
      <c r="E44" s="167"/>
      <c r="F44" s="167"/>
      <c r="G44" s="167"/>
      <c r="H44" s="167"/>
      <c r="I44" s="167"/>
      <c r="J44" s="167"/>
      <c r="K44" s="167"/>
      <c r="L44" s="167"/>
      <c r="M44" s="168"/>
    </row>
    <row r="45" spans="1:16" ht="60" customHeight="1" thickBot="1" x14ac:dyDescent="0.3">
      <c r="A45" s="76" t="s">
        <v>30</v>
      </c>
      <c r="D45" s="169" t="s">
        <v>55</v>
      </c>
      <c r="E45" s="170"/>
      <c r="F45" s="170"/>
      <c r="G45" s="170"/>
      <c r="H45" s="170"/>
      <c r="I45" s="170"/>
      <c r="J45" s="170"/>
      <c r="K45" s="170"/>
      <c r="L45" s="170"/>
      <c r="M45" s="171"/>
    </row>
  </sheetData>
  <mergeCells count="17">
    <mergeCell ref="D2:M2"/>
    <mergeCell ref="F16:M18"/>
    <mergeCell ref="D33:M33"/>
    <mergeCell ref="D35:M35"/>
    <mergeCell ref="D36:E36"/>
    <mergeCell ref="F36:M36"/>
    <mergeCell ref="D37:E37"/>
    <mergeCell ref="F37:M37"/>
    <mergeCell ref="D38:E38"/>
    <mergeCell ref="F39:M39"/>
    <mergeCell ref="D41:E41"/>
    <mergeCell ref="F41:M41"/>
    <mergeCell ref="D42:E42"/>
    <mergeCell ref="F42:M42"/>
    <mergeCell ref="D43:M43"/>
    <mergeCell ref="D44:M44"/>
    <mergeCell ref="D45:M45"/>
  </mergeCells>
  <conditionalFormatting sqref="F6">
    <cfRule type="cellIs" dxfId="464" priority="5" operator="equal">
      <formula>"DELIVER"</formula>
    </cfRule>
  </conditionalFormatting>
  <conditionalFormatting sqref="D35">
    <cfRule type="cellIs" dxfId="463" priority="4" operator="equal">
      <formula>"DELIVER"</formula>
    </cfRule>
  </conditionalFormatting>
  <conditionalFormatting sqref="D2:M2">
    <cfRule type="expression" dxfId="462" priority="3">
      <formula>$F$6="DELIVER"</formula>
    </cfRule>
  </conditionalFormatting>
  <conditionalFormatting sqref="G6">
    <cfRule type="expression" dxfId="461" priority="2">
      <formula>$F$6="DELIVER"</formula>
    </cfRule>
  </conditionalFormatting>
  <conditionalFormatting sqref="D44">
    <cfRule type="expression" dxfId="46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3" max="16383" man="1"/>
  </rowBreaks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1732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DIVINE INSPIRATION MISSIONARY  (026284P)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"026284P"</f>
        <v>026284P</v>
      </c>
      <c r="E4" s="101" t="s">
        <v>37</v>
      </c>
      <c r="F4" s="105" t="str">
        <f>C4</f>
        <v>026284P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1427</v>
      </c>
      <c r="E5" s="101" t="s">
        <v>36</v>
      </c>
      <c r="F5" s="112" t="s">
        <v>1186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1428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A108361|A108361|A108361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ITPN-207486|ITPN-207487|ITPN-207486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1427</v>
      </c>
      <c r="E12" s="74" t="s">
        <v>1418</v>
      </c>
      <c r="F12" s="74" t="s">
        <v>1423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Pick"",""2"",""ITPN-207487"""</f>
        <v>"Ceres NTFB Live","NTFB Live","5766","1","Invt. Pick","2","ITPN-207487"</v>
      </c>
      <c r="E13" s="74" t="s">
        <v>1418</v>
      </c>
      <c r="F13" s="74" t="s">
        <v>1424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1418</v>
      </c>
      <c r="E14" s="74" t="str">
        <f>E12</f>
        <v>A108361</v>
      </c>
      <c r="F14" s="74" t="str">
        <f>F12</f>
        <v>ITPN-207486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1425</v>
      </c>
      <c r="F15" s="92" t="s">
        <v>1426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45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DIVINE INSPIRATION MISSIONARY  (026284P) - NO FRZ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026284P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DIVINE INSPIRATION MISSIONARY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1418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149" priority="5" operator="equal">
      <formula>"DELIVER"</formula>
    </cfRule>
  </conditionalFormatting>
  <conditionalFormatting sqref="D29">
    <cfRule type="cellIs" dxfId="148" priority="4" operator="equal">
      <formula>"DELIVER"</formula>
    </cfRule>
  </conditionalFormatting>
  <conditionalFormatting sqref="D2:M2">
    <cfRule type="expression" dxfId="147" priority="3">
      <formula>$F$6="DELIVER"</formula>
    </cfRule>
  </conditionalFormatting>
  <conditionalFormatting sqref="G6">
    <cfRule type="expression" dxfId="146" priority="2">
      <formula>$F$6="DELIVER"</formula>
    </cfRule>
  </conditionalFormatting>
  <conditionalFormatting sqref="D38">
    <cfRule type="expression" dxfId="14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1734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CARVER HEIGHTS BAPTIST CHURCH  (026392P)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"026392P"</f>
        <v>026392P</v>
      </c>
      <c r="E4" s="101" t="s">
        <v>37</v>
      </c>
      <c r="F4" s="105" t="str">
        <f>C4</f>
        <v>026392P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1445</v>
      </c>
      <c r="E5" s="101" t="s">
        <v>36</v>
      </c>
      <c r="F5" s="112" t="s">
        <v>731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755</v>
      </c>
      <c r="E6" s="101" t="s">
        <v>38</v>
      </c>
      <c r="F6" s="105" t="s">
        <v>60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A108405|A108487|A108405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ITPN-207498|ITPN-207510|ITPN-207498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1445</v>
      </c>
      <c r="E12" s="74" t="s">
        <v>1430</v>
      </c>
      <c r="F12" s="74" t="s">
        <v>1440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Pick"",""2"",""ITPN-207510"""</f>
        <v>"Ceres NTFB Live","NTFB Live","5766","1","Invt. Pick","2","ITPN-207510"</v>
      </c>
      <c r="E13" s="74" t="s">
        <v>1441</v>
      </c>
      <c r="F13" s="74" t="s">
        <v>1442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1430</v>
      </c>
      <c r="E14" s="74" t="str">
        <f>E12</f>
        <v>A108405</v>
      </c>
      <c r="F14" s="74" t="str">
        <f>F12</f>
        <v>ITPN-207498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1443</v>
      </c>
      <c r="F15" s="92" t="s">
        <v>1444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45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CARVER HEIGHTS BAPTIST CHURCH  (026392P) - NO FRZ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026392P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CARVER HEIGHTS BAPTIST CHURCH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1430</v>
      </c>
      <c r="G33" s="174"/>
      <c r="H33" s="174"/>
      <c r="I33" s="174"/>
      <c r="J33" s="174"/>
      <c r="K33" s="174"/>
      <c r="L33" s="174"/>
      <c r="M33" s="175"/>
    </row>
    <row r="34" spans="1:13" ht="30" hidden="1" customHeight="1" x14ac:dyDescent="0.25">
      <c r="A34" s="76" t="s">
        <v>184</v>
      </c>
      <c r="D34" s="80"/>
      <c r="E34" s="78"/>
      <c r="F34" s="174" t="str">
        <f>"A108487"</f>
        <v>A108487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/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8">
    <mergeCell ref="D36:E36"/>
    <mergeCell ref="F36:M36"/>
    <mergeCell ref="D2:M2"/>
    <mergeCell ref="F16:M18"/>
    <mergeCell ref="D27:M27"/>
    <mergeCell ref="D29:M29"/>
    <mergeCell ref="D30:E30"/>
    <mergeCell ref="F30:M30"/>
    <mergeCell ref="F34:M34"/>
    <mergeCell ref="D31:E31"/>
    <mergeCell ref="F31:M31"/>
    <mergeCell ref="D32:E32"/>
    <mergeCell ref="F33:M33"/>
    <mergeCell ref="D37:E37"/>
    <mergeCell ref="F37:M37"/>
    <mergeCell ref="D38:M38"/>
    <mergeCell ref="D39:M39"/>
    <mergeCell ref="D40:M40"/>
  </mergeCells>
  <conditionalFormatting sqref="F6">
    <cfRule type="cellIs" dxfId="144" priority="5" operator="equal">
      <formula>"DELIVER"</formula>
    </cfRule>
  </conditionalFormatting>
  <conditionalFormatting sqref="D29">
    <cfRule type="cellIs" dxfId="143" priority="4" operator="equal">
      <formula>"DELIVER"</formula>
    </cfRule>
  </conditionalFormatting>
  <conditionalFormatting sqref="D2:M2">
    <cfRule type="expression" dxfId="142" priority="3">
      <formula>$F$6="DELIVER"</formula>
    </cfRule>
  </conditionalFormatting>
  <conditionalFormatting sqref="G6">
    <cfRule type="expression" dxfId="141" priority="2">
      <formula>$F$6="DELIVER"</formula>
    </cfRule>
  </conditionalFormatting>
  <conditionalFormatting sqref="D39">
    <cfRule type="expression" dxfId="14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1736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>HIDESHEET</v>
      </c>
      <c r="C2" s="74" t="s">
        <v>7</v>
      </c>
      <c r="D2" s="181" t="str">
        <f>IF(E28="",F5&amp;"  ("&amp;F4&amp;") - NO "&amp;C27,F5&amp;"  ("&amp;F4&amp;") - "&amp;C27&amp;" PICK LIST")</f>
        <v>LIFESOURCE MINISTRIES  (026508P)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"026508P"</f>
        <v>026508P</v>
      </c>
      <c r="E4" s="101" t="s">
        <v>37</v>
      </c>
      <c r="F4" s="105" t="str">
        <f>C4</f>
        <v>026508P</v>
      </c>
      <c r="K4" s="101" t="s">
        <v>42</v>
      </c>
      <c r="L4" s="104"/>
      <c r="M4" s="111">
        <f>SUM(I28:I29)</f>
        <v>0</v>
      </c>
    </row>
    <row r="5" spans="1:26" ht="18" hidden="1" customHeight="1" x14ac:dyDescent="0.25">
      <c r="B5" s="76" t="str">
        <f t="shared" si="0"/>
        <v>Hide</v>
      </c>
      <c r="C5" s="109" t="s">
        <v>1447</v>
      </c>
      <c r="E5" s="101" t="s">
        <v>36</v>
      </c>
      <c r="F5" s="112" t="s">
        <v>1176</v>
      </c>
      <c r="K5" s="101" t="s">
        <v>43</v>
      </c>
      <c r="L5" s="104"/>
      <c r="M5" s="111">
        <f>ROUND(SUM(O28:O29),0)</f>
        <v>0</v>
      </c>
    </row>
    <row r="6" spans="1:26" ht="18" hidden="1" customHeight="1" x14ac:dyDescent="0.25">
      <c r="B6" s="76" t="str">
        <f t="shared" si="0"/>
        <v>Hide</v>
      </c>
      <c r="C6" s="109" t="s">
        <v>1448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ROUND(COUNT(O28:O29),0)</f>
        <v>0</v>
      </c>
      <c r="P6" s="101"/>
      <c r="W6" s="101" t="str">
        <f>"ESTIMATED "&amp;O27&amp;"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E18</f>
        <v>A107897|A107899|A108201|A108323|A108323|A107897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F18</f>
        <v>ITPN-207430|ITPN-207431|ITPN-207451|ITPN-207467|ITPN-207468|ITPN-207430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B17</f>
        <v>Hide</v>
      </c>
      <c r="C12" s="74" t="s">
        <v>1447</v>
      </c>
      <c r="E12" s="74" t="str">
        <f>"A107897"</f>
        <v>A107897</v>
      </c>
      <c r="F12" s="74" t="str">
        <f>"ITPN-207430"</f>
        <v>ITPN-207430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6" si="1">B18</f>
        <v>Hide</v>
      </c>
      <c r="C13" s="74" t="str">
        <f>"""Ceres NTFB Live"",""NTFB Live"",""5766"",""1"",""Invt. Pick"",""2"",""ITPN-207431"""</f>
        <v>"Ceres NTFB Live","NTFB Live","5766","1","Invt. Pick","2","ITPN-207431"</v>
      </c>
      <c r="E13" s="74" t="str">
        <f>"A107899"</f>
        <v>A107899</v>
      </c>
      <c r="F13" s="74" t="str">
        <f>"ITPN-207431"</f>
        <v>ITPN-207431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Pick"",""2"",""ITPN-207451"""</f>
        <v>"Ceres NTFB Live","NTFB Live","5766","1","Invt. Pick","2","ITPN-207451"</v>
      </c>
      <c r="E14" s="74" t="str">
        <f>"A108201"</f>
        <v>A108201</v>
      </c>
      <c r="F14" s="74" t="str">
        <f>"ITPN-207451"</f>
        <v>ITPN-207451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Pick"",""2"",""ITPN-207467"""</f>
        <v>"Ceres NTFB Live","NTFB Live","5766","1","Invt. Pick","2","ITPN-207467"</v>
      </c>
      <c r="E15" s="74" t="str">
        <f>"A108323"</f>
        <v>A108323</v>
      </c>
      <c r="F15" s="74" t="str">
        <f>"ITPN-207467"</f>
        <v>ITPN-207467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Pick"",""2"",""ITPN-207468"""</f>
        <v>"Ceres NTFB Live","NTFB Live","5766","1","Invt. Pick","2","ITPN-207468"</v>
      </c>
      <c r="E16" s="74" t="str">
        <f>"A108323"</f>
        <v>A108323</v>
      </c>
      <c r="F16" s="74" t="str">
        <f>"ITPN-207468"</f>
        <v>ITPN-207468</v>
      </c>
      <c r="I16" s="98"/>
      <c r="J16" s="98"/>
      <c r="K16" s="98"/>
      <c r="L16" s="98"/>
      <c r="M16" s="98"/>
    </row>
    <row r="17" spans="1:17" hidden="1" x14ac:dyDescent="0.25">
      <c r="A17" s="74" t="s">
        <v>6</v>
      </c>
      <c r="B17" s="76" t="str">
        <f t="shared" ref="B17:B27" si="2">B18</f>
        <v>Hide</v>
      </c>
      <c r="C17" s="74" t="s">
        <v>1452</v>
      </c>
      <c r="E17" s="74" t="str">
        <f>E12</f>
        <v>A107897</v>
      </c>
      <c r="F17" s="74" t="str">
        <f>F12</f>
        <v>ITPN-207430</v>
      </c>
      <c r="I17" s="98"/>
      <c r="J17" s="98"/>
      <c r="K17" s="98"/>
      <c r="L17" s="98"/>
      <c r="M17" s="98"/>
    </row>
    <row r="18" spans="1:17" hidden="1" x14ac:dyDescent="0.25">
      <c r="A18" s="74" t="s">
        <v>6</v>
      </c>
      <c r="B18" s="76" t="str">
        <f t="shared" si="2"/>
        <v>Hide</v>
      </c>
      <c r="E18" s="92" t="s">
        <v>1451</v>
      </c>
      <c r="F18" s="92" t="s">
        <v>1449</v>
      </c>
      <c r="I18" s="98"/>
      <c r="J18" s="98"/>
      <c r="K18" s="98"/>
      <c r="L18" s="98"/>
      <c r="M18" s="98"/>
    </row>
    <row r="19" spans="1:17" hidden="1" x14ac:dyDescent="0.25">
      <c r="B19" s="76" t="str">
        <f t="shared" si="2"/>
        <v>Hide</v>
      </c>
      <c r="E19" s="101" t="s">
        <v>20</v>
      </c>
      <c r="F19" s="184" t="s">
        <v>1450</v>
      </c>
      <c r="G19" s="185"/>
      <c r="H19" s="185"/>
      <c r="I19" s="185"/>
      <c r="J19" s="185"/>
      <c r="K19" s="185"/>
      <c r="L19" s="185"/>
      <c r="M19" s="186"/>
    </row>
    <row r="20" spans="1:17" hidden="1" x14ac:dyDescent="0.25">
      <c r="B20" s="76" t="str">
        <f t="shared" si="2"/>
        <v>Hide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hidden="1" thickBot="1" x14ac:dyDescent="0.3">
      <c r="B21" s="76" t="str">
        <f t="shared" si="2"/>
        <v>Hide</v>
      </c>
      <c r="F21" s="190"/>
      <c r="G21" s="191"/>
      <c r="H21" s="191"/>
      <c r="I21" s="191"/>
      <c r="J21" s="191"/>
      <c r="K21" s="191"/>
      <c r="L21" s="191"/>
      <c r="M21" s="192"/>
    </row>
    <row r="22" spans="1:17" hidden="1" x14ac:dyDescent="0.25">
      <c r="B22" s="76" t="str">
        <f t="shared" si="2"/>
        <v>Hide</v>
      </c>
    </row>
    <row r="23" spans="1:17" hidden="1" x14ac:dyDescent="0.25">
      <c r="B23" s="76" t="str">
        <f t="shared" si="2"/>
        <v>Hide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hidden="1" x14ac:dyDescent="0.25">
      <c r="B24" s="76" t="str">
        <f t="shared" si="2"/>
        <v>Hide</v>
      </c>
      <c r="E24" s="101"/>
    </row>
    <row r="25" spans="1:17" hidden="1" x14ac:dyDescent="0.25">
      <c r="B25" s="76" t="str">
        <f t="shared" si="2"/>
        <v>Hide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hidden="1" x14ac:dyDescent="0.25">
      <c r="B26" s="76" t="str">
        <f t="shared" si="2"/>
        <v>Hide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hidden="1" customHeight="1" x14ac:dyDescent="0.25">
      <c r="A27" s="97"/>
      <c r="B27" s="76" t="str">
        <f t="shared" si="2"/>
        <v>Hide</v>
      </c>
      <c r="C27" s="117" t="s">
        <v>45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hidden="1" customHeight="1" x14ac:dyDescent="0.25">
      <c r="B28" s="92" t="str">
        <f>IF(I28="","Hide","Show")</f>
        <v>Hide</v>
      </c>
      <c r="C28" s="74" t="s">
        <v>179</v>
      </c>
      <c r="D28" s="89" t="s">
        <v>179</v>
      </c>
      <c r="E28" s="89" t="s">
        <v>179</v>
      </c>
      <c r="F28" s="89" t="s">
        <v>179</v>
      </c>
      <c r="G28" s="91" t="s">
        <v>180</v>
      </c>
      <c r="H28" s="90" t="s">
        <v>179</v>
      </c>
      <c r="I28" s="89" t="s">
        <v>179</v>
      </c>
      <c r="J28" s="89" t="s">
        <v>179</v>
      </c>
      <c r="K28" s="88"/>
      <c r="L28" s="87"/>
      <c r="M28" s="87"/>
      <c r="N28" s="85" t="s">
        <v>179</v>
      </c>
      <c r="O28" s="85" t="s">
        <v>179</v>
      </c>
      <c r="P28" s="85" t="s">
        <v>179</v>
      </c>
      <c r="Q28" s="86" t="s">
        <v>56</v>
      </c>
    </row>
    <row r="29" spans="1:17" hidden="1" x14ac:dyDescent="0.25">
      <c r="B29" s="74" t="str">
        <f>B28</f>
        <v>Hide</v>
      </c>
      <c r="H29" s="85"/>
      <c r="I29" s="85"/>
    </row>
    <row r="30" spans="1:17" ht="15.75" hidden="1" thickBot="1" x14ac:dyDescent="0.3">
      <c r="B30" s="74" t="str">
        <f>+B29</f>
        <v>Hide</v>
      </c>
      <c r="D30" s="193" t="str">
        <f>+"END OF "&amp;D2</f>
        <v>END OF LIFESOURCE MINISTRIES  (026508P) - NO FRZ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DELIVER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026508P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LIFESOURCE MINISTRIES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1452</v>
      </c>
      <c r="G36" s="174"/>
      <c r="H36" s="174"/>
      <c r="I36" s="174"/>
      <c r="J36" s="174"/>
      <c r="K36" s="174"/>
      <c r="L36" s="174"/>
      <c r="M36" s="175"/>
    </row>
    <row r="37" spans="1:16" ht="30" hidden="1" customHeight="1" x14ac:dyDescent="0.25">
      <c r="A37" s="76" t="s">
        <v>184</v>
      </c>
      <c r="D37" s="80"/>
      <c r="E37" s="78"/>
      <c r="F37" s="174" t="str">
        <f>"A107899"</f>
        <v>A107899</v>
      </c>
      <c r="G37" s="174"/>
      <c r="H37" s="174"/>
      <c r="I37" s="174"/>
      <c r="J37" s="174"/>
      <c r="K37" s="174"/>
      <c r="L37" s="174"/>
      <c r="M37" s="175"/>
    </row>
    <row r="38" spans="1:16" ht="30" hidden="1" customHeight="1" x14ac:dyDescent="0.25">
      <c r="A38" s="76" t="s">
        <v>184</v>
      </c>
      <c r="D38" s="80"/>
      <c r="E38" s="78"/>
      <c r="F38" s="174" t="str">
        <f>"A108201"</f>
        <v>A108201</v>
      </c>
      <c r="G38" s="174"/>
      <c r="H38" s="174"/>
      <c r="I38" s="174"/>
      <c r="J38" s="174"/>
      <c r="K38" s="174"/>
      <c r="L38" s="174"/>
      <c r="M38" s="175"/>
    </row>
    <row r="39" spans="1:16" ht="30" hidden="1" customHeight="1" x14ac:dyDescent="0.25">
      <c r="A39" s="76" t="s">
        <v>184</v>
      </c>
      <c r="D39" s="80"/>
      <c r="E39" s="78"/>
      <c r="F39" s="174" t="str">
        <f>"A108323"</f>
        <v>A108323</v>
      </c>
      <c r="G39" s="174"/>
      <c r="H39" s="174"/>
      <c r="I39" s="174"/>
      <c r="J39" s="174"/>
      <c r="K39" s="174"/>
      <c r="L39" s="174"/>
      <c r="M39" s="175"/>
    </row>
    <row r="40" spans="1:16" ht="15.75" hidden="1" customHeight="1" thickBot="1" x14ac:dyDescent="0.3">
      <c r="A40" s="76" t="s">
        <v>19</v>
      </c>
      <c r="D40" s="80"/>
      <c r="E40" s="78"/>
      <c r="F40" s="78"/>
      <c r="G40" s="79"/>
      <c r="H40" s="78"/>
      <c r="I40" s="78"/>
      <c r="J40" s="78"/>
      <c r="K40" s="78"/>
      <c r="L40" s="78"/>
      <c r="M40" s="77"/>
    </row>
    <row r="41" spans="1:16" ht="36.75" x14ac:dyDescent="0.45">
      <c r="A41" s="76" t="s">
        <v>30</v>
      </c>
      <c r="D41" s="176" t="s">
        <v>50</v>
      </c>
      <c r="E41" s="177"/>
      <c r="F41" s="178">
        <f>+F7</f>
        <v>42612</v>
      </c>
      <c r="G41" s="179"/>
      <c r="H41" s="179"/>
      <c r="I41" s="179"/>
      <c r="J41" s="179"/>
      <c r="K41" s="179"/>
      <c r="L41" s="179"/>
      <c r="M41" s="180"/>
    </row>
    <row r="42" spans="1:16" ht="37.5" thickBot="1" x14ac:dyDescent="0.5">
      <c r="A42" s="76" t="s">
        <v>30</v>
      </c>
      <c r="D42" s="158" t="s">
        <v>32</v>
      </c>
      <c r="E42" s="159"/>
      <c r="F42" s="160"/>
      <c r="G42" s="161"/>
      <c r="H42" s="161"/>
      <c r="I42" s="161"/>
      <c r="J42" s="161"/>
      <c r="K42" s="161"/>
      <c r="L42" s="161"/>
      <c r="M42" s="162"/>
    </row>
    <row r="43" spans="1:16" ht="80.099999999999994" customHeight="1" thickBot="1" x14ac:dyDescent="0.3">
      <c r="A43" s="76" t="s">
        <v>30</v>
      </c>
      <c r="D43" s="163" t="s">
        <v>51</v>
      </c>
      <c r="E43" s="164"/>
      <c r="F43" s="164"/>
      <c r="G43" s="164"/>
      <c r="H43" s="164"/>
      <c r="I43" s="164"/>
      <c r="J43" s="164"/>
      <c r="K43" s="164"/>
      <c r="L43" s="164"/>
      <c r="M43" s="165"/>
    </row>
    <row r="44" spans="1:16" ht="90" customHeight="1" thickBot="1" x14ac:dyDescent="0.3">
      <c r="A44" s="76" t="s">
        <v>30</v>
      </c>
      <c r="D44" s="166" t="str">
        <f>IF(F6="DELIVER",G6,F6)</f>
        <v>COLLIN 1</v>
      </c>
      <c r="E44" s="167"/>
      <c r="F44" s="167"/>
      <c r="G44" s="167"/>
      <c r="H44" s="167"/>
      <c r="I44" s="167"/>
      <c r="J44" s="167"/>
      <c r="K44" s="167"/>
      <c r="L44" s="167"/>
      <c r="M44" s="168"/>
    </row>
    <row r="45" spans="1:16" ht="60" customHeight="1" thickBot="1" x14ac:dyDescent="0.3">
      <c r="A45" s="76" t="s">
        <v>30</v>
      </c>
      <c r="D45" s="169" t="s">
        <v>55</v>
      </c>
      <c r="E45" s="170"/>
      <c r="F45" s="170"/>
      <c r="G45" s="170"/>
      <c r="H45" s="170"/>
      <c r="I45" s="170"/>
      <c r="J45" s="170"/>
      <c r="K45" s="170"/>
      <c r="L45" s="170"/>
      <c r="M45" s="171"/>
    </row>
  </sheetData>
  <mergeCells count="20">
    <mergeCell ref="D41:E41"/>
    <mergeCell ref="F41:M41"/>
    <mergeCell ref="D2:M2"/>
    <mergeCell ref="F19:M21"/>
    <mergeCell ref="D30:M30"/>
    <mergeCell ref="D32:M32"/>
    <mergeCell ref="D33:E33"/>
    <mergeCell ref="F33:M33"/>
    <mergeCell ref="F37:M37"/>
    <mergeCell ref="F38:M38"/>
    <mergeCell ref="F39:M39"/>
    <mergeCell ref="D34:E34"/>
    <mergeCell ref="F34:M34"/>
    <mergeCell ref="D35:E35"/>
    <mergeCell ref="F36:M36"/>
    <mergeCell ref="D42:E42"/>
    <mergeCell ref="F42:M42"/>
    <mergeCell ref="D43:M43"/>
    <mergeCell ref="D44:M44"/>
    <mergeCell ref="D45:M45"/>
  </mergeCells>
  <conditionalFormatting sqref="F6">
    <cfRule type="cellIs" dxfId="139" priority="5" operator="equal">
      <formula>"DELIVER"</formula>
    </cfRule>
  </conditionalFormatting>
  <conditionalFormatting sqref="D32">
    <cfRule type="cellIs" dxfId="138" priority="4" operator="equal">
      <formula>"DELIVER"</formula>
    </cfRule>
  </conditionalFormatting>
  <conditionalFormatting sqref="D2:M2">
    <cfRule type="expression" dxfId="137" priority="3">
      <formula>$F$6="DELIVER"</formula>
    </cfRule>
  </conditionalFormatting>
  <conditionalFormatting sqref="G6">
    <cfRule type="expression" dxfId="136" priority="2">
      <formula>$F$6="DELIVER"</formula>
    </cfRule>
  </conditionalFormatting>
  <conditionalFormatting sqref="D44">
    <cfRule type="expression" dxfId="13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1738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SOUL FOR CHRIST MINISTRY, INC  (026536RA) - FRZ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"026536RA"</f>
        <v>026536RA</v>
      </c>
      <c r="E4" s="101" t="s">
        <v>37</v>
      </c>
      <c r="F4" s="105" t="str">
        <f>C4</f>
        <v>026536RA</v>
      </c>
      <c r="K4" s="101" t="s">
        <v>42</v>
      </c>
      <c r="L4" s="104"/>
      <c r="M4" s="111">
        <f>SUM(I25:I29)</f>
        <v>47</v>
      </c>
    </row>
    <row r="5" spans="1:26" ht="18" customHeight="1" x14ac:dyDescent="0.25">
      <c r="B5" s="76" t="str">
        <f t="shared" si="0"/>
        <v>Show</v>
      </c>
      <c r="C5" s="109" t="s">
        <v>1465</v>
      </c>
      <c r="E5" s="101" t="s">
        <v>36</v>
      </c>
      <c r="F5" s="112" t="s">
        <v>733</v>
      </c>
      <c r="K5" s="101" t="s">
        <v>43</v>
      </c>
      <c r="L5" s="104"/>
      <c r="M5" s="111">
        <f>ROUND(SUM(O25:O29),0)</f>
        <v>1134</v>
      </c>
    </row>
    <row r="6" spans="1:26" ht="18" customHeight="1" x14ac:dyDescent="0.25">
      <c r="B6" s="76" t="str">
        <f t="shared" si="0"/>
        <v>Show</v>
      </c>
      <c r="C6" s="109" t="s">
        <v>757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ROUND(COUNT(O25:O29),0)</f>
        <v>4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A108241|A108406|A108241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ITPN-207461|ITPN-207499|ITPN-207461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1465</v>
      </c>
      <c r="E12" s="74" t="s">
        <v>1459</v>
      </c>
      <c r="F12" s="74" t="s">
        <v>1460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Pick"",""2"",""ITPN-207499"""</f>
        <v>"Ceres NTFB Live","NTFB Live","5766","1","Invt. Pick","2","ITPN-207499"</v>
      </c>
      <c r="E13" s="74" t="s">
        <v>1461</v>
      </c>
      <c r="F13" s="74" t="s">
        <v>1462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1459</v>
      </c>
      <c r="E14" s="74" t="str">
        <f>E12</f>
        <v>A108241</v>
      </c>
      <c r="F14" s="74" t="str">
        <f>F12</f>
        <v>ITPN-207461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1463</v>
      </c>
      <c r="F15" s="92" t="s">
        <v>1464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117" t="s">
        <v>45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1537</v>
      </c>
      <c r="D25" s="89" t="s">
        <v>287</v>
      </c>
      <c r="E25" s="89" t="s">
        <v>1529</v>
      </c>
      <c r="F25" s="89" t="s">
        <v>779</v>
      </c>
      <c r="G25" s="91" t="s">
        <v>1530</v>
      </c>
      <c r="H25" s="90" t="s">
        <v>780</v>
      </c>
      <c r="I25" s="89">
        <v>5</v>
      </c>
      <c r="J25" s="89" t="s">
        <v>286</v>
      </c>
      <c r="K25" s="88"/>
      <c r="L25" s="87"/>
      <c r="M25" s="87"/>
      <c r="N25" s="85" t="s">
        <v>179</v>
      </c>
      <c r="O25" s="85">
        <v>135</v>
      </c>
      <c r="P25" s="85" t="s">
        <v>45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28" si="2">IF(I26="","Hide","Show")</f>
        <v>Show</v>
      </c>
      <c r="C26" s="74" t="str">
        <f>"""Ceres NTFB Live"",""NTFB Live"",""5767"",""1"",""Invt. Pick"",""2"",""ITPN-207461"",""3"",""20000"""</f>
        <v>"Ceres NTFB Live","NTFB Live","5767","1","Invt. Pick","2","ITPN-207461","3","20000"</v>
      </c>
      <c r="D26" s="89" t="s">
        <v>1531</v>
      </c>
      <c r="E26" s="89" t="s">
        <v>1532</v>
      </c>
      <c r="F26" s="89" t="s">
        <v>777</v>
      </c>
      <c r="G26" s="91" t="s">
        <v>1530</v>
      </c>
      <c r="H26" s="90" t="s">
        <v>778</v>
      </c>
      <c r="I26" s="89">
        <v>10</v>
      </c>
      <c r="J26" s="89" t="s">
        <v>286</v>
      </c>
      <c r="K26" s="88"/>
      <c r="L26" s="87"/>
      <c r="M26" s="87"/>
      <c r="N26" s="85" t="s">
        <v>179</v>
      </c>
      <c r="O26" s="85">
        <v>270</v>
      </c>
      <c r="P26" s="85" t="s">
        <v>45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2"/>
        <v>Show</v>
      </c>
      <c r="C27" s="74" t="str">
        <f>"""Ceres NTFB Live"",""NTFB Live"",""5767"",""1"",""Invt. Pick"",""2"",""ITPN-207499"",""3"",""20000"""</f>
        <v>"Ceres NTFB Live","NTFB Live","5767","1","Invt. Pick","2","ITPN-207499","3","20000"</v>
      </c>
      <c r="D27" s="89" t="s">
        <v>1531</v>
      </c>
      <c r="E27" s="89" t="s">
        <v>1532</v>
      </c>
      <c r="F27" s="89" t="s">
        <v>777</v>
      </c>
      <c r="G27" s="91" t="s">
        <v>1533</v>
      </c>
      <c r="H27" s="90" t="s">
        <v>778</v>
      </c>
      <c r="I27" s="89">
        <v>5</v>
      </c>
      <c r="J27" s="89" t="s">
        <v>286</v>
      </c>
      <c r="K27" s="88"/>
      <c r="L27" s="87"/>
      <c r="M27" s="87"/>
      <c r="N27" s="85" t="s">
        <v>179</v>
      </c>
      <c r="O27" s="85">
        <v>135</v>
      </c>
      <c r="P27" s="85" t="s">
        <v>45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2"/>
        <v>Show</v>
      </c>
      <c r="C28" s="74" t="str">
        <f>"""Ceres NTFB Live"",""NTFB Live"",""5767"",""1"",""Invt. Pick"",""2"",""ITPN-207461"",""3"",""60000"""</f>
        <v>"Ceres NTFB Live","NTFB Live","5767","1","Invt. Pick","2","ITPN-207461","3","60000"</v>
      </c>
      <c r="D28" s="89" t="s">
        <v>763</v>
      </c>
      <c r="E28" s="89" t="s">
        <v>1534</v>
      </c>
      <c r="F28" s="89" t="s">
        <v>1535</v>
      </c>
      <c r="G28" s="91" t="s">
        <v>1530</v>
      </c>
      <c r="H28" s="90" t="s">
        <v>1536</v>
      </c>
      <c r="I28" s="89">
        <v>27</v>
      </c>
      <c r="J28" s="89" t="s">
        <v>286</v>
      </c>
      <c r="K28" s="88"/>
      <c r="L28" s="87"/>
      <c r="M28" s="87"/>
      <c r="N28" s="85" t="s">
        <v>179</v>
      </c>
      <c r="O28" s="85">
        <v>594</v>
      </c>
      <c r="P28" s="85" t="s">
        <v>45</v>
      </c>
      <c r="Q28" s="86" t="s">
        <v>56</v>
      </c>
    </row>
    <row r="29" spans="1:17" ht="15.75" thickBot="1" x14ac:dyDescent="0.3">
      <c r="B29" s="74" t="str">
        <f>B25</f>
        <v>Show</v>
      </c>
      <c r="H29" s="85"/>
      <c r="I29" s="85"/>
    </row>
    <row r="30" spans="1:17" ht="15.75" thickBot="1" x14ac:dyDescent="0.3">
      <c r="B30" s="74" t="str">
        <f>+B29</f>
        <v>Show</v>
      </c>
      <c r="D30" s="193" t="str">
        <f>+"END OF "&amp;D2</f>
        <v>END OF SOUL FOR CHRIST MINISTRY, INC  (026536RA) - FRZ PICK LIST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PICKUP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026536RA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SOUL FOR CHRIST MINISTRY, INC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1459</v>
      </c>
      <c r="G36" s="174"/>
      <c r="H36" s="174"/>
      <c r="I36" s="174"/>
      <c r="J36" s="174"/>
      <c r="K36" s="174"/>
      <c r="L36" s="174"/>
      <c r="M36" s="175"/>
    </row>
    <row r="37" spans="1:16" ht="30" hidden="1" customHeight="1" x14ac:dyDescent="0.25">
      <c r="A37" s="76" t="s">
        <v>184</v>
      </c>
      <c r="D37" s="80"/>
      <c r="E37" s="78"/>
      <c r="F37" s="174" t="str">
        <f>"A108406"</f>
        <v>A108406</v>
      </c>
      <c r="G37" s="174"/>
      <c r="H37" s="174"/>
      <c r="I37" s="174"/>
      <c r="J37" s="174"/>
      <c r="K37" s="174"/>
      <c r="L37" s="174"/>
      <c r="M37" s="175"/>
    </row>
    <row r="38" spans="1:16" ht="15.75" hidden="1" customHeight="1" thickBot="1" x14ac:dyDescent="0.3">
      <c r="A38" s="76" t="s">
        <v>19</v>
      </c>
      <c r="D38" s="80"/>
      <c r="E38" s="78"/>
      <c r="F38" s="78"/>
      <c r="G38" s="79"/>
      <c r="H38" s="78"/>
      <c r="I38" s="78"/>
      <c r="J38" s="78"/>
      <c r="K38" s="78"/>
      <c r="L38" s="78"/>
      <c r="M38" s="77"/>
    </row>
    <row r="39" spans="1:16" ht="36.75" x14ac:dyDescent="0.45">
      <c r="A39" s="76" t="s">
        <v>30</v>
      </c>
      <c r="D39" s="176" t="s">
        <v>50</v>
      </c>
      <c r="E39" s="177"/>
      <c r="F39" s="178">
        <f>+F7</f>
        <v>42612</v>
      </c>
      <c r="G39" s="179"/>
      <c r="H39" s="179"/>
      <c r="I39" s="179"/>
      <c r="J39" s="179"/>
      <c r="K39" s="179"/>
      <c r="L39" s="179"/>
      <c r="M39" s="180"/>
    </row>
    <row r="40" spans="1:16" ht="37.5" thickBot="1" x14ac:dyDescent="0.5">
      <c r="A40" s="76" t="s">
        <v>30</v>
      </c>
      <c r="D40" s="158" t="s">
        <v>32</v>
      </c>
      <c r="E40" s="159"/>
      <c r="F40" s="160"/>
      <c r="G40" s="161"/>
      <c r="H40" s="161"/>
      <c r="I40" s="161"/>
      <c r="J40" s="161"/>
      <c r="K40" s="161"/>
      <c r="L40" s="161"/>
      <c r="M40" s="162"/>
    </row>
    <row r="41" spans="1:16" ht="80.099999999999994" customHeight="1" thickBot="1" x14ac:dyDescent="0.3">
      <c r="A41" s="76" t="s">
        <v>30</v>
      </c>
      <c r="D41" s="163" t="s">
        <v>51</v>
      </c>
      <c r="E41" s="164"/>
      <c r="F41" s="164"/>
      <c r="G41" s="164"/>
      <c r="H41" s="164"/>
      <c r="I41" s="164"/>
      <c r="J41" s="164"/>
      <c r="K41" s="164"/>
      <c r="L41" s="164"/>
      <c r="M41" s="165"/>
    </row>
    <row r="42" spans="1:16" ht="90" customHeight="1" thickBot="1" x14ac:dyDescent="0.3">
      <c r="A42" s="76" t="s">
        <v>30</v>
      </c>
      <c r="D42" s="166" t="str">
        <f>IF(F6="DELIVER",G6,F6)</f>
        <v>PICKUP</v>
      </c>
      <c r="E42" s="167"/>
      <c r="F42" s="167"/>
      <c r="G42" s="167"/>
      <c r="H42" s="167"/>
      <c r="I42" s="167"/>
      <c r="J42" s="167"/>
      <c r="K42" s="167"/>
      <c r="L42" s="167"/>
      <c r="M42" s="168"/>
    </row>
    <row r="43" spans="1:16" ht="60" customHeight="1" thickBot="1" x14ac:dyDescent="0.3">
      <c r="A43" s="76" t="s">
        <v>30</v>
      </c>
      <c r="D43" s="169" t="s">
        <v>55</v>
      </c>
      <c r="E43" s="170"/>
      <c r="F43" s="170"/>
      <c r="G43" s="170"/>
      <c r="H43" s="170"/>
      <c r="I43" s="170"/>
      <c r="J43" s="170"/>
      <c r="K43" s="170"/>
      <c r="L43" s="170"/>
      <c r="M43" s="171"/>
    </row>
  </sheetData>
  <mergeCells count="18">
    <mergeCell ref="D39:E39"/>
    <mergeCell ref="F39:M39"/>
    <mergeCell ref="D2:M2"/>
    <mergeCell ref="F16:M18"/>
    <mergeCell ref="D30:M30"/>
    <mergeCell ref="D32:M32"/>
    <mergeCell ref="D33:E33"/>
    <mergeCell ref="F33:M33"/>
    <mergeCell ref="F37:M37"/>
    <mergeCell ref="D34:E34"/>
    <mergeCell ref="F34:M34"/>
    <mergeCell ref="D35:E35"/>
    <mergeCell ref="F36:M36"/>
    <mergeCell ref="D40:E40"/>
    <mergeCell ref="F40:M40"/>
    <mergeCell ref="D41:M41"/>
    <mergeCell ref="D42:M42"/>
    <mergeCell ref="D43:M43"/>
  </mergeCells>
  <conditionalFormatting sqref="F6">
    <cfRule type="cellIs" dxfId="134" priority="5" operator="equal">
      <formula>"DELIVER"</formula>
    </cfRule>
  </conditionalFormatting>
  <conditionalFormatting sqref="D32">
    <cfRule type="cellIs" dxfId="133" priority="4" operator="equal">
      <formula>"DELIVER"</formula>
    </cfRule>
  </conditionalFormatting>
  <conditionalFormatting sqref="D2:M2">
    <cfRule type="expression" dxfId="132" priority="3">
      <formula>$F$6="DELIVER"</formula>
    </cfRule>
  </conditionalFormatting>
  <conditionalFormatting sqref="G6">
    <cfRule type="expression" dxfId="131" priority="2">
      <formula>$F$6="DELIVER"</formula>
    </cfRule>
  </conditionalFormatting>
  <conditionalFormatting sqref="D42">
    <cfRule type="expression" dxfId="13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1740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HARMONY COMMUNITY DEV. CORP  (026575P) - NO FRZ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"026575P"</f>
        <v>026575P</v>
      </c>
      <c r="E4" s="101" t="s">
        <v>37</v>
      </c>
      <c r="F4" s="105" t="str">
        <f>C4</f>
        <v>026575P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1471</v>
      </c>
      <c r="E5" s="101" t="s">
        <v>36</v>
      </c>
      <c r="F5" s="112" t="s">
        <v>1192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1472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A108064|A108064|A108064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ITPN-207444|ITPN-207446|ITPN-207444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1471</v>
      </c>
      <c r="E12" s="74" t="s">
        <v>1466</v>
      </c>
      <c r="F12" s="74" t="s">
        <v>1467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Pick"",""2"",""ITPN-207446"""</f>
        <v>"Ceres NTFB Live","NTFB Live","5766","1","Invt. Pick","2","ITPN-207446"</v>
      </c>
      <c r="E13" s="74" t="s">
        <v>1466</v>
      </c>
      <c r="F13" s="74" t="s">
        <v>1468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1466</v>
      </c>
      <c r="E14" s="74" t="str">
        <f>E12</f>
        <v>A108064</v>
      </c>
      <c r="F14" s="74" t="str">
        <f>F12</f>
        <v>ITPN-207444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1469</v>
      </c>
      <c r="F15" s="92" t="s">
        <v>1470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45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HARMONY COMMUNITY DEV. CORP  (026575P) - NO FRZ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026575P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HARMONY COMMUNITY DEV. CORP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1466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129" priority="5" operator="equal">
      <formula>"DELIVER"</formula>
    </cfRule>
  </conditionalFormatting>
  <conditionalFormatting sqref="D29">
    <cfRule type="cellIs" dxfId="128" priority="4" operator="equal">
      <formula>"DELIVER"</formula>
    </cfRule>
  </conditionalFormatting>
  <conditionalFormatting sqref="D2:M2">
    <cfRule type="expression" dxfId="127" priority="3">
      <formula>$F$6="DELIVER"</formula>
    </cfRule>
  </conditionalFormatting>
  <conditionalFormatting sqref="G6">
    <cfRule type="expression" dxfId="126" priority="2">
      <formula>$F$6="DELIVER"</formula>
    </cfRule>
  </conditionalFormatting>
  <conditionalFormatting sqref="D38">
    <cfRule type="expression" dxfId="12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1742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IF(F32="","HIDESHEET","")</f>
        <v/>
      </c>
      <c r="C2" s="74" t="s">
        <v>7</v>
      </c>
      <c r="D2" s="181" t="str">
        <f>IF(E32="",F5&amp;"  ("&amp;F4&amp;") - NO "&amp;C31,F5&amp;"  ("&amp;F4&amp;") - "&amp;C31&amp;" PICK LIST")</f>
        <v>CHRISTIAN BENEVOLENT OUTREACH  (026637P) - FRZ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"026637P"</f>
        <v>026637P</v>
      </c>
      <c r="E4" s="101" t="s">
        <v>37</v>
      </c>
      <c r="F4" s="105" t="str">
        <f>C4</f>
        <v>026637P</v>
      </c>
      <c r="K4" s="101" t="s">
        <v>42</v>
      </c>
      <c r="L4" s="104"/>
      <c r="M4" s="111">
        <f>SUM(I32:I37)</f>
        <v>92</v>
      </c>
    </row>
    <row r="5" spans="1:26" ht="18" customHeight="1" x14ac:dyDescent="0.25">
      <c r="B5" s="76" t="str">
        <f t="shared" si="0"/>
        <v>Show</v>
      </c>
      <c r="C5" s="109" t="s">
        <v>1476</v>
      </c>
      <c r="E5" s="101" t="s">
        <v>36</v>
      </c>
      <c r="F5" s="112" t="s">
        <v>1173</v>
      </c>
      <c r="K5" s="101" t="s">
        <v>43</v>
      </c>
      <c r="L5" s="104"/>
      <c r="M5" s="111">
        <f>ROUND(SUM(O32:O37),0)</f>
        <v>1776</v>
      </c>
    </row>
    <row r="6" spans="1:26" ht="18" customHeight="1" x14ac:dyDescent="0.25">
      <c r="B6" s="76" t="str">
        <f t="shared" si="0"/>
        <v>Show</v>
      </c>
      <c r="C6" s="109" t="s">
        <v>1477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ROUND(COUNT(O32:O37),0)</f>
        <v>5</v>
      </c>
      <c r="P6" s="101"/>
      <c r="W6" s="101" t="str">
        <f>"ESTIMATED "&amp;O31&amp;"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E22</f>
        <v>A107495|A107495|A107495|A107502|A107502|A107580|A107580|A107796|A107796|A107495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F22</f>
        <v>ITPN-207417|ITPN-207418|ITPN-207419|ITPN-207420|ITPN-207421|ITPN-207422|ITPN-207423|ITPN-207424|ITPN-207425|ITPN-207417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B21</f>
        <v>Show</v>
      </c>
      <c r="C12" s="74" t="s">
        <v>1480</v>
      </c>
      <c r="E12" s="74" t="str">
        <f>"A107495"</f>
        <v>A107495</v>
      </c>
      <c r="F12" s="74" t="str">
        <f>"ITPN-207417"</f>
        <v>ITPN-207417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20" si="1">B22</f>
        <v>Show</v>
      </c>
      <c r="C13" s="74" t="str">
        <f>"""Ceres NTFB Live"",""NTFB Live"",""5766"",""1"",""Invt. Pick"",""2"",""ITPN-207418"""</f>
        <v>"Ceres NTFB Live","NTFB Live","5766","1","Invt. Pick","2","ITPN-207418"</v>
      </c>
      <c r="E13" s="74" t="str">
        <f>"A107495"</f>
        <v>A107495</v>
      </c>
      <c r="F13" s="74" t="str">
        <f>"ITPN-207418"</f>
        <v>ITPN-207418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Pick"",""2"",""ITPN-207419"""</f>
        <v>"Ceres NTFB Live","NTFB Live","5766","1","Invt. Pick","2","ITPN-207419"</v>
      </c>
      <c r="E14" s="74" t="str">
        <f>"A107495"</f>
        <v>A107495</v>
      </c>
      <c r="F14" s="74" t="str">
        <f>"ITPN-207419"</f>
        <v>ITPN-207419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173</v>
      </c>
      <c r="B15" s="76" t="str">
        <f t="shared" si="1"/>
        <v>Show</v>
      </c>
      <c r="C15" s="74" t="str">
        <f>"""Ceres NTFB Live"",""NTFB Live"",""5766"",""1"",""Invt. Pick"",""2"",""ITPN-207420"""</f>
        <v>"Ceres NTFB Live","NTFB Live","5766","1","Invt. Pick","2","ITPN-207420"</v>
      </c>
      <c r="E15" s="74" t="str">
        <f>"A107502"</f>
        <v>A107502</v>
      </c>
      <c r="F15" s="74" t="str">
        <f>"ITPN-207420"</f>
        <v>ITPN-207420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173</v>
      </c>
      <c r="B16" s="76" t="str">
        <f t="shared" si="1"/>
        <v>Show</v>
      </c>
      <c r="C16" s="74" t="str">
        <f>"""Ceres NTFB Live"",""NTFB Live"",""5766"",""1"",""Invt. Pick"",""2"",""ITPN-207421"""</f>
        <v>"Ceres NTFB Live","NTFB Live","5766","1","Invt. Pick","2","ITPN-207421"</v>
      </c>
      <c r="E16" s="74" t="str">
        <f>"A107502"</f>
        <v>A107502</v>
      </c>
      <c r="F16" s="74" t="str">
        <f>"ITPN-207421"</f>
        <v>ITPN-207421</v>
      </c>
      <c r="I16" s="98"/>
      <c r="J16" s="98"/>
      <c r="K16" s="98"/>
      <c r="L16" s="98"/>
      <c r="M16" s="98"/>
    </row>
    <row r="17" spans="1:17" ht="15.75" hidden="1" thickBot="1" x14ac:dyDescent="0.3">
      <c r="A17" s="74" t="s">
        <v>173</v>
      </c>
      <c r="B17" s="76" t="str">
        <f t="shared" si="1"/>
        <v>Show</v>
      </c>
      <c r="C17" s="74" t="str">
        <f>"""Ceres NTFB Live"",""NTFB Live"",""5766"",""1"",""Invt. Pick"",""2"",""ITPN-207422"""</f>
        <v>"Ceres NTFB Live","NTFB Live","5766","1","Invt. Pick","2","ITPN-207422"</v>
      </c>
      <c r="E17" s="74" t="str">
        <f>"A107580"</f>
        <v>A107580</v>
      </c>
      <c r="F17" s="74" t="str">
        <f>"ITPN-207422"</f>
        <v>ITPN-207422</v>
      </c>
      <c r="I17" s="98"/>
      <c r="J17" s="98"/>
      <c r="K17" s="98"/>
      <c r="L17" s="98"/>
      <c r="M17" s="98"/>
    </row>
    <row r="18" spans="1:17" ht="15.75" hidden="1" thickBot="1" x14ac:dyDescent="0.3">
      <c r="A18" s="74" t="s">
        <v>173</v>
      </c>
      <c r="B18" s="76" t="str">
        <f t="shared" si="1"/>
        <v>Show</v>
      </c>
      <c r="C18" s="74" t="str">
        <f>"""Ceres NTFB Live"",""NTFB Live"",""5766"",""1"",""Invt. Pick"",""2"",""ITPN-207423"""</f>
        <v>"Ceres NTFB Live","NTFB Live","5766","1","Invt. Pick","2","ITPN-207423"</v>
      </c>
      <c r="E18" s="74" t="str">
        <f>"A107580"</f>
        <v>A107580</v>
      </c>
      <c r="F18" s="74" t="str">
        <f>"ITPN-207423"</f>
        <v>ITPN-207423</v>
      </c>
      <c r="I18" s="98"/>
      <c r="J18" s="98"/>
      <c r="K18" s="98"/>
      <c r="L18" s="98"/>
      <c r="M18" s="98"/>
    </row>
    <row r="19" spans="1:17" ht="15.75" hidden="1" thickBot="1" x14ac:dyDescent="0.3">
      <c r="A19" s="74" t="s">
        <v>173</v>
      </c>
      <c r="B19" s="76" t="str">
        <f t="shared" si="1"/>
        <v>Show</v>
      </c>
      <c r="C19" s="74" t="str">
        <f>"""Ceres NTFB Live"",""NTFB Live"",""5766"",""1"",""Invt. Pick"",""2"",""ITPN-207424"""</f>
        <v>"Ceres NTFB Live","NTFB Live","5766","1","Invt. Pick","2","ITPN-207424"</v>
      </c>
      <c r="E19" s="74" t="str">
        <f>"A107796"</f>
        <v>A107796</v>
      </c>
      <c r="F19" s="74" t="str">
        <f>"ITPN-207424"</f>
        <v>ITPN-207424</v>
      </c>
      <c r="I19" s="98"/>
      <c r="J19" s="98"/>
      <c r="K19" s="98"/>
      <c r="L19" s="98"/>
      <c r="M19" s="98"/>
    </row>
    <row r="20" spans="1:17" ht="15.75" hidden="1" thickBot="1" x14ac:dyDescent="0.3">
      <c r="A20" s="74" t="s">
        <v>173</v>
      </c>
      <c r="B20" s="76" t="str">
        <f t="shared" si="1"/>
        <v>Show</v>
      </c>
      <c r="C20" s="74" t="str">
        <f>"""Ceres NTFB Live"",""NTFB Live"",""5766"",""1"",""Invt. Pick"",""2"",""ITPN-207425"""</f>
        <v>"Ceres NTFB Live","NTFB Live","5766","1","Invt. Pick","2","ITPN-207425"</v>
      </c>
      <c r="E20" s="74" t="str">
        <f>"A107796"</f>
        <v>A107796</v>
      </c>
      <c r="F20" s="74" t="str">
        <f>"ITPN-207425"</f>
        <v>ITPN-207425</v>
      </c>
      <c r="I20" s="98"/>
      <c r="J20" s="98"/>
      <c r="K20" s="98"/>
      <c r="L20" s="98"/>
      <c r="M20" s="98"/>
    </row>
    <row r="21" spans="1:17" ht="15.75" hidden="1" thickBot="1" x14ac:dyDescent="0.3">
      <c r="A21" s="74" t="s">
        <v>6</v>
      </c>
      <c r="B21" s="76" t="str">
        <f t="shared" ref="B21:B31" si="2">B22</f>
        <v>Show</v>
      </c>
      <c r="C21" s="74" t="s">
        <v>1481</v>
      </c>
      <c r="E21" s="74" t="str">
        <f>E12</f>
        <v>A107495</v>
      </c>
      <c r="F21" s="74" t="str">
        <f>F12</f>
        <v>ITPN-207417</v>
      </c>
      <c r="I21" s="98"/>
      <c r="J21" s="98"/>
      <c r="K21" s="98"/>
      <c r="L21" s="98"/>
      <c r="M21" s="98"/>
    </row>
    <row r="22" spans="1:17" ht="15.75" hidden="1" thickBot="1" x14ac:dyDescent="0.3">
      <c r="A22" s="74" t="s">
        <v>6</v>
      </c>
      <c r="B22" s="76" t="str">
        <f t="shared" si="2"/>
        <v>Show</v>
      </c>
      <c r="E22" s="92" t="s">
        <v>1479</v>
      </c>
      <c r="F22" s="92" t="s">
        <v>1478</v>
      </c>
      <c r="I22" s="98"/>
      <c r="J22" s="98"/>
      <c r="K22" s="98"/>
      <c r="L22" s="98"/>
      <c r="M22" s="98"/>
    </row>
    <row r="23" spans="1:17" x14ac:dyDescent="0.25">
      <c r="B23" s="76" t="str">
        <f t="shared" si="2"/>
        <v>Show</v>
      </c>
      <c r="E23" s="101" t="s">
        <v>20</v>
      </c>
      <c r="F23" s="184" t="s">
        <v>179</v>
      </c>
      <c r="G23" s="185"/>
      <c r="H23" s="185"/>
      <c r="I23" s="185"/>
      <c r="J23" s="185"/>
      <c r="K23" s="185"/>
      <c r="L23" s="185"/>
      <c r="M23" s="186"/>
    </row>
    <row r="24" spans="1:17" x14ac:dyDescent="0.25">
      <c r="B24" s="76" t="str">
        <f t="shared" si="2"/>
        <v>Show</v>
      </c>
      <c r="F24" s="187"/>
      <c r="G24" s="188"/>
      <c r="H24" s="188"/>
      <c r="I24" s="188"/>
      <c r="J24" s="188"/>
      <c r="K24" s="188"/>
      <c r="L24" s="188"/>
      <c r="M24" s="189"/>
    </row>
    <row r="25" spans="1:17" ht="15.75" thickBot="1" x14ac:dyDescent="0.3">
      <c r="B25" s="76" t="str">
        <f t="shared" si="2"/>
        <v>Show</v>
      </c>
      <c r="F25" s="190"/>
      <c r="G25" s="191"/>
      <c r="H25" s="191"/>
      <c r="I25" s="191"/>
      <c r="J25" s="191"/>
      <c r="K25" s="191"/>
      <c r="L25" s="191"/>
      <c r="M25" s="192"/>
    </row>
    <row r="26" spans="1:17" x14ac:dyDescent="0.25">
      <c r="B26" s="76" t="str">
        <f t="shared" si="2"/>
        <v>Show</v>
      </c>
    </row>
    <row r="27" spans="1:17" x14ac:dyDescent="0.25">
      <c r="B27" s="76" t="str">
        <f t="shared" si="2"/>
        <v>Show</v>
      </c>
      <c r="E27" s="101" t="s">
        <v>33</v>
      </c>
      <c r="F27" s="100"/>
      <c r="G27" s="102"/>
      <c r="H27" s="101" t="s">
        <v>53</v>
      </c>
      <c r="I27" s="100"/>
      <c r="J27" s="100"/>
      <c r="K27" s="100"/>
    </row>
    <row r="28" spans="1:17" x14ac:dyDescent="0.25">
      <c r="B28" s="76" t="str">
        <f t="shared" si="2"/>
        <v>Show</v>
      </c>
      <c r="E28" s="101"/>
    </row>
    <row r="29" spans="1:17" x14ac:dyDescent="0.25">
      <c r="B29" s="76" t="str">
        <f t="shared" si="2"/>
        <v>Show</v>
      </c>
      <c r="E29" s="101" t="s">
        <v>32</v>
      </c>
      <c r="F29" s="100"/>
      <c r="G29" s="102"/>
      <c r="H29" s="101" t="s">
        <v>54</v>
      </c>
      <c r="I29" s="100"/>
      <c r="J29" s="100"/>
      <c r="K29" s="100"/>
    </row>
    <row r="30" spans="1:17" x14ac:dyDescent="0.25">
      <c r="B30" s="76" t="str">
        <f t="shared" si="2"/>
        <v>Show</v>
      </c>
      <c r="C30" s="74" t="s">
        <v>52</v>
      </c>
      <c r="D30" s="74" t="s">
        <v>52</v>
      </c>
      <c r="F30" s="99"/>
      <c r="I30" s="98"/>
      <c r="J30" s="98"/>
      <c r="K30" s="98"/>
      <c r="L30" s="98"/>
      <c r="M30" s="98"/>
    </row>
    <row r="31" spans="1:17" s="75" customFormat="1" ht="15.95" customHeight="1" x14ac:dyDescent="0.25">
      <c r="A31" s="97"/>
      <c r="B31" s="76" t="str">
        <f t="shared" si="2"/>
        <v>Show</v>
      </c>
      <c r="C31" s="117" t="s">
        <v>45</v>
      </c>
      <c r="D31" s="94" t="s">
        <v>28</v>
      </c>
      <c r="E31" s="94" t="s">
        <v>26</v>
      </c>
      <c r="F31" s="94" t="s">
        <v>29</v>
      </c>
      <c r="G31" s="94" t="s">
        <v>57</v>
      </c>
      <c r="H31" s="94" t="s">
        <v>27</v>
      </c>
      <c r="I31" s="94" t="s">
        <v>25</v>
      </c>
      <c r="J31" s="94" t="s">
        <v>10</v>
      </c>
      <c r="K31" s="94" t="s">
        <v>24</v>
      </c>
      <c r="L31" s="95"/>
      <c r="M31" s="94" t="s">
        <v>31</v>
      </c>
      <c r="N31" s="93" t="s">
        <v>21</v>
      </c>
      <c r="O31" s="93" t="s">
        <v>22</v>
      </c>
      <c r="P31" s="93" t="s">
        <v>23</v>
      </c>
      <c r="Q31" s="93"/>
    </row>
    <row r="32" spans="1:17" ht="24.95" customHeight="1" x14ac:dyDescent="0.25">
      <c r="B32" s="92" t="str">
        <f>IF(I32="","Hide","Show")</f>
        <v>Show</v>
      </c>
      <c r="C32" s="74" t="s">
        <v>1542</v>
      </c>
      <c r="D32" s="89" t="str">
        <f>"52-01-01"</f>
        <v>52-01-01</v>
      </c>
      <c r="E32" s="89" t="str">
        <f>"P00192993"</f>
        <v>P00192993</v>
      </c>
      <c r="F32" s="89" t="str">
        <f>"1000003639"</f>
        <v>1000003639</v>
      </c>
      <c r="G32" s="91" t="s">
        <v>1538</v>
      </c>
      <c r="H32" s="90" t="str">
        <f>"RAVIOLI, CHICKEN, FROZEN"</f>
        <v>RAVIOLI, CHICKEN, FROZEN</v>
      </c>
      <c r="I32" s="89">
        <v>6</v>
      </c>
      <c r="J32" s="89" t="str">
        <f>"CS"</f>
        <v>CS</v>
      </c>
      <c r="K32" s="88"/>
      <c r="L32" s="87"/>
      <c r="M32" s="87"/>
      <c r="N32" s="85" t="s">
        <v>179</v>
      </c>
      <c r="O32" s="85">
        <v>432</v>
      </c>
      <c r="P32" s="85" t="str">
        <f>"FRZ"</f>
        <v>FRZ</v>
      </c>
      <c r="Q32" s="86" t="s">
        <v>56</v>
      </c>
    </row>
    <row r="33" spans="1:17" ht="24.95" customHeight="1" x14ac:dyDescent="0.25">
      <c r="A33" s="74" t="s">
        <v>174</v>
      </c>
      <c r="B33" s="92" t="str">
        <f t="shared" ref="B33:B36" si="3">IF(I33="","Hide","Show")</f>
        <v>Show</v>
      </c>
      <c r="C33" s="74" t="str">
        <f>"""Ceres NTFB Live"",""NTFB Live"",""5767"",""1"",""Invt. Pick"",""2"",""ITPN-207420"",""3"",""20000"""</f>
        <v>"Ceres NTFB Live","NTFB Live","5767","1","Invt. Pick","2","ITPN-207420","3","20000"</v>
      </c>
      <c r="D33" s="89" t="str">
        <f>"52-05-01"</f>
        <v>52-05-01</v>
      </c>
      <c r="E33" s="89" t="str">
        <f>"P00192988"</f>
        <v>P00192988</v>
      </c>
      <c r="F33" s="89" t="str">
        <f>"1000003639"</f>
        <v>1000003639</v>
      </c>
      <c r="G33" s="91" t="s">
        <v>1539</v>
      </c>
      <c r="H33" s="90" t="str">
        <f>"RAVIOLI, CHICKEN, FROZEN"</f>
        <v>RAVIOLI, CHICKEN, FROZEN</v>
      </c>
      <c r="I33" s="89">
        <v>6</v>
      </c>
      <c r="J33" s="89" t="str">
        <f>"CS"</f>
        <v>CS</v>
      </c>
      <c r="K33" s="88"/>
      <c r="L33" s="87"/>
      <c r="M33" s="87"/>
      <c r="N33" s="85" t="s">
        <v>179</v>
      </c>
      <c r="O33" s="85">
        <v>144</v>
      </c>
      <c r="P33" s="85" t="str">
        <f>"FRZ"</f>
        <v>FRZ</v>
      </c>
      <c r="Q33" s="86" t="s">
        <v>56</v>
      </c>
    </row>
    <row r="34" spans="1:17" ht="24.95" customHeight="1" x14ac:dyDescent="0.25">
      <c r="A34" s="74" t="s">
        <v>174</v>
      </c>
      <c r="B34" s="92" t="str">
        <f t="shared" si="3"/>
        <v>Show</v>
      </c>
      <c r="C34" s="74" t="str">
        <f>"""Ceres NTFB Live"",""NTFB Live"",""5767"",""1"",""Invt. Pick"",""2"",""ITPN-207420"",""3"",""30000"""</f>
        <v>"Ceres NTFB Live","NTFB Live","5767","1","Invt. Pick","2","ITPN-207420","3","30000"</v>
      </c>
      <c r="D34" s="89" t="str">
        <f>"52-05-01"</f>
        <v>52-05-01</v>
      </c>
      <c r="E34" s="89" t="str">
        <f>"P00192988"</f>
        <v>P00192988</v>
      </c>
      <c r="F34" s="89" t="str">
        <f>"1000003639"</f>
        <v>1000003639</v>
      </c>
      <c r="G34" s="91" t="s">
        <v>1539</v>
      </c>
      <c r="H34" s="90" t="str">
        <f>"RAVIOLI, CHICKEN, FROZEN"</f>
        <v>RAVIOLI, CHICKEN, FROZEN</v>
      </c>
      <c r="I34" s="89">
        <v>18</v>
      </c>
      <c r="J34" s="89" t="str">
        <f>"CS"</f>
        <v>CS</v>
      </c>
      <c r="K34" s="88"/>
      <c r="L34" s="87"/>
      <c r="M34" s="87"/>
      <c r="N34" s="85" t="s">
        <v>179</v>
      </c>
      <c r="O34" s="85">
        <v>432</v>
      </c>
      <c r="P34" s="85" t="str">
        <f>"FRZ"</f>
        <v>FRZ</v>
      </c>
      <c r="Q34" s="86" t="s">
        <v>56</v>
      </c>
    </row>
    <row r="35" spans="1:17" ht="24.95" customHeight="1" x14ac:dyDescent="0.25">
      <c r="A35" s="74" t="s">
        <v>174</v>
      </c>
      <c r="B35" s="92" t="str">
        <f t="shared" si="3"/>
        <v>Show</v>
      </c>
      <c r="C35" s="74" t="str">
        <f>"""Ceres NTFB Live"",""NTFB Live"",""5767"",""1"",""Invt. Pick"",""2"",""ITPN-207422"",""3"",""20000"""</f>
        <v>"Ceres NTFB Live","NTFB Live","5767","1","Invt. Pick","2","ITPN-207422","3","20000"</v>
      </c>
      <c r="D35" s="89" t="str">
        <f>"52-07-01"</f>
        <v>52-07-01</v>
      </c>
      <c r="E35" s="89" t="str">
        <f>"P00191136"</f>
        <v>P00191136</v>
      </c>
      <c r="F35" s="89" t="str">
        <f>"1000001611"</f>
        <v>1000001611</v>
      </c>
      <c r="G35" s="91" t="s">
        <v>1540</v>
      </c>
      <c r="H35" s="90" t="str">
        <f>"BEEF, ASSORTED MEAT BOX, FROZEN"</f>
        <v>BEEF, ASSORTED MEAT BOX, FROZEN</v>
      </c>
      <c r="I35" s="89">
        <v>22</v>
      </c>
      <c r="J35" s="89" t="str">
        <f>"CS"</f>
        <v>CS</v>
      </c>
      <c r="K35" s="88"/>
      <c r="L35" s="87"/>
      <c r="M35" s="87"/>
      <c r="N35" s="85" t="s">
        <v>179</v>
      </c>
      <c r="O35" s="85">
        <v>528</v>
      </c>
      <c r="P35" s="85" t="str">
        <f>"FRZ"</f>
        <v>FRZ</v>
      </c>
      <c r="Q35" s="86" t="s">
        <v>56</v>
      </c>
    </row>
    <row r="36" spans="1:17" ht="24.95" customHeight="1" x14ac:dyDescent="0.25">
      <c r="A36" s="74" t="s">
        <v>174</v>
      </c>
      <c r="B36" s="92" t="str">
        <f t="shared" si="3"/>
        <v>Show</v>
      </c>
      <c r="C36" s="74" t="str">
        <f>"""Ceres NTFB Live"",""NTFB Live"",""5767"",""1"",""Invt. Pick"",""2"",""ITPN-207424"",""3"",""20000"""</f>
        <v>"Ceres NTFB Live","NTFB Live","5767","1","Invt. Pick","2","ITPN-207424","3","20000"</v>
      </c>
      <c r="D36" s="89" t="str">
        <f>"53-32-01"</f>
        <v>53-32-01</v>
      </c>
      <c r="E36" s="89" t="str">
        <f>"P00191919"</f>
        <v>P00191919</v>
      </c>
      <c r="F36" s="89" t="str">
        <f>"1000003610"</f>
        <v>1000003610</v>
      </c>
      <c r="G36" s="91" t="s">
        <v>1541</v>
      </c>
      <c r="H36" s="90" t="str">
        <f>"MEAT, CHICKEN BREAST FAJITA, FROZEN"</f>
        <v>MEAT, CHICKEN BREAST FAJITA, FROZEN</v>
      </c>
      <c r="I36" s="89">
        <v>40</v>
      </c>
      <c r="J36" s="89" t="str">
        <f>"CS"</f>
        <v>CS</v>
      </c>
      <c r="K36" s="88"/>
      <c r="L36" s="87"/>
      <c r="M36" s="87"/>
      <c r="N36" s="85" t="s">
        <v>179</v>
      </c>
      <c r="O36" s="85">
        <v>240</v>
      </c>
      <c r="P36" s="85" t="str">
        <f>"FRZ"</f>
        <v>FRZ</v>
      </c>
      <c r="Q36" s="86" t="s">
        <v>56</v>
      </c>
    </row>
    <row r="37" spans="1:17" ht="15.75" thickBot="1" x14ac:dyDescent="0.3">
      <c r="B37" s="74" t="str">
        <f>B32</f>
        <v>Show</v>
      </c>
      <c r="H37" s="85"/>
      <c r="I37" s="85"/>
    </row>
    <row r="38" spans="1:17" ht="15.75" thickBot="1" x14ac:dyDescent="0.3">
      <c r="B38" s="74" t="str">
        <f>+B37</f>
        <v>Show</v>
      </c>
      <c r="D38" s="193" t="str">
        <f>+"END OF "&amp;D2</f>
        <v>END OF CHRISTIAN BENEVOLENT OUTREACH  (026637P) - FRZ PICK LIST</v>
      </c>
      <c r="E38" s="194"/>
      <c r="F38" s="194"/>
      <c r="G38" s="194"/>
      <c r="H38" s="194"/>
      <c r="I38" s="194"/>
      <c r="J38" s="194"/>
      <c r="K38" s="194"/>
      <c r="L38" s="194"/>
      <c r="M38" s="195"/>
    </row>
    <row r="39" spans="1:17" ht="15.75" thickBot="1" x14ac:dyDescent="0.3"/>
    <row r="40" spans="1:17" ht="80.099999999999994" customHeight="1" thickBot="1" x14ac:dyDescent="0.3">
      <c r="A40" s="76" t="s">
        <v>30</v>
      </c>
      <c r="D40" s="166" t="str">
        <f>+F6</f>
        <v>DELIVER</v>
      </c>
      <c r="E40" s="167"/>
      <c r="F40" s="167"/>
      <c r="G40" s="167"/>
      <c r="H40" s="167"/>
      <c r="I40" s="167"/>
      <c r="J40" s="167"/>
      <c r="K40" s="167"/>
      <c r="L40" s="167"/>
      <c r="M40" s="168"/>
    </row>
    <row r="41" spans="1:17" ht="36.75" x14ac:dyDescent="0.45">
      <c r="A41" s="76" t="s">
        <v>30</v>
      </c>
      <c r="D41" s="176" t="s">
        <v>12</v>
      </c>
      <c r="E41" s="177"/>
      <c r="F41" s="196" t="str">
        <f>+F4</f>
        <v>026637P</v>
      </c>
      <c r="G41" s="196"/>
      <c r="H41" s="196"/>
      <c r="I41" s="196"/>
      <c r="J41" s="196"/>
      <c r="K41" s="196"/>
      <c r="L41" s="196"/>
      <c r="M41" s="197"/>
    </row>
    <row r="42" spans="1:17" ht="37.5" customHeight="1" thickBot="1" x14ac:dyDescent="0.5">
      <c r="A42" s="76" t="s">
        <v>30</v>
      </c>
      <c r="D42" s="158" t="s">
        <v>5</v>
      </c>
      <c r="E42" s="159"/>
      <c r="F42" s="161" t="str">
        <f>+F5</f>
        <v>CHRISTIAN BENEVOLENT OUTREACH</v>
      </c>
      <c r="G42" s="161"/>
      <c r="H42" s="161"/>
      <c r="I42" s="161"/>
      <c r="J42" s="161"/>
      <c r="K42" s="161"/>
      <c r="L42" s="161"/>
      <c r="M42" s="162"/>
      <c r="N42" s="84"/>
      <c r="O42" s="84"/>
      <c r="P42" s="84"/>
    </row>
    <row r="43" spans="1:17" ht="33.75" hidden="1" thickBot="1" x14ac:dyDescent="0.45">
      <c r="A43" s="76" t="s">
        <v>19</v>
      </c>
      <c r="D43" s="172" t="s">
        <v>49</v>
      </c>
      <c r="E43" s="173"/>
      <c r="F43" s="82"/>
      <c r="G43" s="83"/>
      <c r="H43" s="82"/>
      <c r="I43" s="82"/>
      <c r="J43" s="82"/>
      <c r="K43" s="82"/>
      <c r="L43" s="82"/>
      <c r="M43" s="81"/>
    </row>
    <row r="44" spans="1:17" ht="30" hidden="1" customHeight="1" x14ac:dyDescent="0.25">
      <c r="A44" s="76" t="s">
        <v>19</v>
      </c>
      <c r="D44" s="80"/>
      <c r="E44" s="78"/>
      <c r="F44" s="174" t="s">
        <v>1481</v>
      </c>
      <c r="G44" s="174"/>
      <c r="H44" s="174"/>
      <c r="I44" s="174"/>
      <c r="J44" s="174"/>
      <c r="K44" s="174"/>
      <c r="L44" s="174"/>
      <c r="M44" s="175"/>
    </row>
    <row r="45" spans="1:17" ht="30" hidden="1" customHeight="1" x14ac:dyDescent="0.25">
      <c r="A45" s="76" t="s">
        <v>184</v>
      </c>
      <c r="D45" s="80"/>
      <c r="E45" s="78"/>
      <c r="F45" s="174" t="str">
        <f>"A107502"</f>
        <v>A107502</v>
      </c>
      <c r="G45" s="174"/>
      <c r="H45" s="174"/>
      <c r="I45" s="174"/>
      <c r="J45" s="174"/>
      <c r="K45" s="174"/>
      <c r="L45" s="174"/>
      <c r="M45" s="175"/>
    </row>
    <row r="46" spans="1:17" ht="30" hidden="1" customHeight="1" x14ac:dyDescent="0.25">
      <c r="A46" s="76" t="s">
        <v>184</v>
      </c>
      <c r="D46" s="80"/>
      <c r="E46" s="78"/>
      <c r="F46" s="174" t="str">
        <f>"A107580"</f>
        <v>A107580</v>
      </c>
      <c r="G46" s="174"/>
      <c r="H46" s="174"/>
      <c r="I46" s="174"/>
      <c r="J46" s="174"/>
      <c r="K46" s="174"/>
      <c r="L46" s="174"/>
      <c r="M46" s="175"/>
    </row>
    <row r="47" spans="1:17" ht="30" hidden="1" customHeight="1" x14ac:dyDescent="0.25">
      <c r="A47" s="76" t="s">
        <v>184</v>
      </c>
      <c r="D47" s="80"/>
      <c r="E47" s="78"/>
      <c r="F47" s="174" t="str">
        <f>"A107796"</f>
        <v>A107796</v>
      </c>
      <c r="G47" s="174"/>
      <c r="H47" s="174"/>
      <c r="I47" s="174"/>
      <c r="J47" s="174"/>
      <c r="K47" s="174"/>
      <c r="L47" s="174"/>
      <c r="M47" s="175"/>
    </row>
    <row r="48" spans="1:17" ht="15.75" hidden="1" customHeight="1" thickBot="1" x14ac:dyDescent="0.3">
      <c r="A48" s="76" t="s">
        <v>19</v>
      </c>
      <c r="D48" s="80"/>
      <c r="E48" s="78"/>
      <c r="F48" s="78"/>
      <c r="G48" s="79"/>
      <c r="H48" s="78"/>
      <c r="I48" s="78"/>
      <c r="J48" s="78"/>
      <c r="K48" s="78"/>
      <c r="L48" s="78"/>
      <c r="M48" s="77"/>
    </row>
    <row r="49" spans="1:13" ht="36.75" x14ac:dyDescent="0.45">
      <c r="A49" s="76" t="s">
        <v>30</v>
      </c>
      <c r="D49" s="176" t="s">
        <v>50</v>
      </c>
      <c r="E49" s="177"/>
      <c r="F49" s="178">
        <f>+F7</f>
        <v>42612</v>
      </c>
      <c r="G49" s="179"/>
      <c r="H49" s="179"/>
      <c r="I49" s="179"/>
      <c r="J49" s="179"/>
      <c r="K49" s="179"/>
      <c r="L49" s="179"/>
      <c r="M49" s="180"/>
    </row>
    <row r="50" spans="1:13" ht="37.5" thickBot="1" x14ac:dyDescent="0.5">
      <c r="A50" s="76" t="s">
        <v>30</v>
      </c>
      <c r="D50" s="158" t="s">
        <v>32</v>
      </c>
      <c r="E50" s="159"/>
      <c r="F50" s="160"/>
      <c r="G50" s="161"/>
      <c r="H50" s="161"/>
      <c r="I50" s="161"/>
      <c r="J50" s="161"/>
      <c r="K50" s="161"/>
      <c r="L50" s="161"/>
      <c r="M50" s="162"/>
    </row>
    <row r="51" spans="1:13" ht="80.099999999999994" customHeight="1" thickBot="1" x14ac:dyDescent="0.3">
      <c r="A51" s="76" t="s">
        <v>30</v>
      </c>
      <c r="D51" s="163" t="s">
        <v>51</v>
      </c>
      <c r="E51" s="164"/>
      <c r="F51" s="164"/>
      <c r="G51" s="164"/>
      <c r="H51" s="164"/>
      <c r="I51" s="164"/>
      <c r="J51" s="164"/>
      <c r="K51" s="164"/>
      <c r="L51" s="164"/>
      <c r="M51" s="165"/>
    </row>
    <row r="52" spans="1:13" ht="90" customHeight="1" thickBot="1" x14ac:dyDescent="0.3">
      <c r="A52" s="76" t="s">
        <v>30</v>
      </c>
      <c r="D52" s="166" t="str">
        <f>IF(F6="DELIVER",G6,F6)</f>
        <v>COLLIN 1</v>
      </c>
      <c r="E52" s="167"/>
      <c r="F52" s="167"/>
      <c r="G52" s="167"/>
      <c r="H52" s="167"/>
      <c r="I52" s="167"/>
      <c r="J52" s="167"/>
      <c r="K52" s="167"/>
      <c r="L52" s="167"/>
      <c r="M52" s="168"/>
    </row>
    <row r="53" spans="1:13" ht="60" customHeight="1" thickBot="1" x14ac:dyDescent="0.3">
      <c r="A53" s="76" t="s">
        <v>30</v>
      </c>
      <c r="D53" s="169" t="s">
        <v>55</v>
      </c>
      <c r="E53" s="170"/>
      <c r="F53" s="170"/>
      <c r="G53" s="170"/>
      <c r="H53" s="170"/>
      <c r="I53" s="170"/>
      <c r="J53" s="170"/>
      <c r="K53" s="170"/>
      <c r="L53" s="170"/>
      <c r="M53" s="171"/>
    </row>
  </sheetData>
  <mergeCells count="20">
    <mergeCell ref="D49:E49"/>
    <mergeCell ref="F49:M49"/>
    <mergeCell ref="D2:M2"/>
    <mergeCell ref="F23:M25"/>
    <mergeCell ref="D38:M38"/>
    <mergeCell ref="D40:M40"/>
    <mergeCell ref="D41:E41"/>
    <mergeCell ref="F41:M41"/>
    <mergeCell ref="F45:M45"/>
    <mergeCell ref="F46:M46"/>
    <mergeCell ref="F47:M47"/>
    <mergeCell ref="D42:E42"/>
    <mergeCell ref="F42:M42"/>
    <mergeCell ref="D43:E43"/>
    <mergeCell ref="F44:M44"/>
    <mergeCell ref="D50:E50"/>
    <mergeCell ref="F50:M50"/>
    <mergeCell ref="D51:M51"/>
    <mergeCell ref="D52:M52"/>
    <mergeCell ref="D53:M53"/>
  </mergeCells>
  <conditionalFormatting sqref="F6">
    <cfRule type="cellIs" dxfId="124" priority="5" operator="equal">
      <formula>"DELIVER"</formula>
    </cfRule>
  </conditionalFormatting>
  <conditionalFormatting sqref="D40">
    <cfRule type="cellIs" dxfId="123" priority="4" operator="equal">
      <formula>"DELIVER"</formula>
    </cfRule>
  </conditionalFormatting>
  <conditionalFormatting sqref="D2:M2">
    <cfRule type="expression" dxfId="122" priority="3">
      <formula>$F$6="DELIVER"</formula>
    </cfRule>
  </conditionalFormatting>
  <conditionalFormatting sqref="G6">
    <cfRule type="expression" dxfId="121" priority="2">
      <formula>$F$6="DELIVER"</formula>
    </cfRule>
  </conditionalFormatting>
  <conditionalFormatting sqref="D52">
    <cfRule type="expression" dxfId="12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8" max="16383" man="1"/>
  </rowBreaks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1" hidden="1" customWidth="1"/>
    <col min="2" max="2" width="7.140625" style="1" hidden="1" customWidth="1"/>
    <col min="3" max="3" width="66.140625" style="1" hidden="1" customWidth="1"/>
    <col min="4" max="4" width="10.7109375" style="1" customWidth="1"/>
    <col min="5" max="6" width="12.7109375" style="1" customWidth="1"/>
    <col min="7" max="7" width="12.7109375" style="4" customWidth="1"/>
    <col min="8" max="8" width="48.7109375" style="1" customWidth="1"/>
    <col min="9" max="9" width="5.7109375" style="1" customWidth="1"/>
    <col min="10" max="10" width="6.85546875" style="1" customWidth="1"/>
    <col min="11" max="11" width="9.7109375" style="1" customWidth="1"/>
    <col min="12" max="12" width="1.140625" style="1" hidden="1" customWidth="1"/>
    <col min="13" max="13" width="11.42578125" style="1" customWidth="1"/>
    <col min="14" max="14" width="5.85546875" style="1" hidden="1" customWidth="1"/>
    <col min="15" max="15" width="8" style="1" hidden="1" customWidth="1"/>
    <col min="16" max="16" width="8.5703125" style="1" hidden="1" customWidth="1"/>
    <col min="17" max="17" width="9.5703125" style="1" hidden="1" customWidth="1"/>
    <col min="18" max="18" width="6.7109375" style="1" hidden="1" customWidth="1"/>
    <col min="19" max="19" width="9.140625" style="1" hidden="1" customWidth="1"/>
    <col min="20" max="20" width="9.42578125" style="1" hidden="1" customWidth="1"/>
    <col min="21" max="26" width="9.140625" style="1" hidden="1" customWidth="1"/>
    <col min="27" max="16384" width="9.140625" style="1"/>
  </cols>
  <sheetData>
    <row r="1" spans="1:26" ht="15.75" hidden="1" thickBot="1" x14ac:dyDescent="0.3">
      <c r="A1" s="1" t="s">
        <v>1744</v>
      </c>
      <c r="B1" s="1" t="s">
        <v>11</v>
      </c>
      <c r="C1" s="1" t="s">
        <v>6</v>
      </c>
      <c r="D1" s="1" t="s">
        <v>30</v>
      </c>
      <c r="E1" s="1" t="s">
        <v>30</v>
      </c>
      <c r="F1" s="1" t="s">
        <v>30</v>
      </c>
      <c r="G1" s="4" t="s">
        <v>30</v>
      </c>
      <c r="H1" s="1" t="s">
        <v>30</v>
      </c>
      <c r="I1" s="1" t="s">
        <v>30</v>
      </c>
      <c r="J1" s="1" t="s">
        <v>30</v>
      </c>
      <c r="K1" s="1" t="s">
        <v>30</v>
      </c>
      <c r="L1" s="1" t="s">
        <v>19</v>
      </c>
      <c r="M1" s="1" t="s">
        <v>30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  <c r="S1" s="1" t="s">
        <v>19</v>
      </c>
      <c r="T1" s="1" t="s">
        <v>19</v>
      </c>
      <c r="U1" s="1" t="s">
        <v>19</v>
      </c>
      <c r="V1" s="1" t="s">
        <v>19</v>
      </c>
      <c r="W1" s="1" t="s">
        <v>19</v>
      </c>
      <c r="X1" s="1" t="s">
        <v>19</v>
      </c>
      <c r="Y1" s="1" t="s">
        <v>19</v>
      </c>
      <c r="Z1" s="1" t="s">
        <v>19</v>
      </c>
    </row>
    <row r="2" spans="1:26" ht="30" customHeight="1" thickBot="1" x14ac:dyDescent="0.35">
      <c r="A2" s="1" t="s">
        <v>30</v>
      </c>
      <c r="B2" s="15" t="str">
        <f>IF(F24="","HIDESHEET","")</f>
        <v>HIDESHEET</v>
      </c>
      <c r="C2" s="1" t="s">
        <v>7</v>
      </c>
      <c r="D2" s="137" t="str">
        <f>IF(E24="",F5&amp;"  ("&amp;F4&amp;") - NO "&amp;C23,F5&amp;"  ("&amp;F4&amp;") - "&amp;C23&amp;" PICK LIST")</f>
        <v>DALLAS LIFE FOUNDATION  (001042RA) - NO F4K</v>
      </c>
      <c r="E2" s="138"/>
      <c r="F2" s="138"/>
      <c r="G2" s="138"/>
      <c r="H2" s="138"/>
      <c r="I2" s="138"/>
      <c r="J2" s="138"/>
      <c r="K2" s="138"/>
      <c r="L2" s="138"/>
      <c r="M2" s="139"/>
      <c r="N2" s="11"/>
      <c r="O2" s="11"/>
      <c r="P2" s="11"/>
      <c r="Q2" s="11"/>
      <c r="R2" s="11"/>
    </row>
    <row r="3" spans="1:26" ht="11.25" hidden="1" customHeight="1" x14ac:dyDescent="0.3">
      <c r="A3" s="1" t="s">
        <v>6</v>
      </c>
      <c r="B3" s="15" t="str">
        <f t="shared" ref="B3:B23" si="0">B4</f>
        <v>Hide</v>
      </c>
      <c r="D3" s="6"/>
      <c r="E3" s="6"/>
      <c r="F3" s="6"/>
      <c r="G3" s="42"/>
      <c r="H3" s="6"/>
      <c r="I3" s="6"/>
      <c r="J3" s="6"/>
      <c r="K3" s="6"/>
      <c r="L3" s="6"/>
    </row>
    <row r="4" spans="1:26" ht="18" hidden="1" customHeight="1" x14ac:dyDescent="0.25">
      <c r="B4" s="15" t="str">
        <f t="shared" si="0"/>
        <v>Hide</v>
      </c>
      <c r="C4" t="s">
        <v>1206</v>
      </c>
      <c r="E4" s="12" t="s">
        <v>37</v>
      </c>
      <c r="F4" s="27" t="str">
        <f>C4</f>
        <v>001042RA</v>
      </c>
      <c r="K4" s="12" t="s">
        <v>42</v>
      </c>
      <c r="L4" s="5"/>
      <c r="M4" s="33">
        <f>SUM(I24:I25)</f>
        <v>0</v>
      </c>
    </row>
    <row r="5" spans="1:26" ht="18" hidden="1" customHeight="1" x14ac:dyDescent="0.25">
      <c r="B5" s="15" t="str">
        <f t="shared" si="0"/>
        <v>Hide</v>
      </c>
      <c r="C5" s="10" t="s">
        <v>1201</v>
      </c>
      <c r="E5" s="12" t="s">
        <v>36</v>
      </c>
      <c r="F5" s="28" t="s">
        <v>1185</v>
      </c>
      <c r="K5" s="12" t="s">
        <v>43</v>
      </c>
      <c r="L5" s="5"/>
      <c r="M5" s="33">
        <f>ROUND(SUM(O24:O25),0)</f>
        <v>0</v>
      </c>
    </row>
    <row r="6" spans="1:26" ht="18" hidden="1" customHeight="1" x14ac:dyDescent="0.25">
      <c r="B6" s="15" t="str">
        <f t="shared" si="0"/>
        <v>Hide</v>
      </c>
      <c r="C6" s="10" t="s">
        <v>1207</v>
      </c>
      <c r="E6" s="12" t="s">
        <v>38</v>
      </c>
      <c r="F6" s="27" t="s">
        <v>61</v>
      </c>
      <c r="G6" s="43" t="s">
        <v>179</v>
      </c>
      <c r="I6" s="10"/>
      <c r="J6" s="10"/>
      <c r="K6" s="47" t="s">
        <v>58</v>
      </c>
      <c r="L6" s="47"/>
      <c r="M6" s="48">
        <f>ROUND(COUNT(O24:O25),0)</f>
        <v>0</v>
      </c>
      <c r="P6" s="12"/>
      <c r="W6" s="12" t="str">
        <f>"ESTIMATED "&amp;O23&amp;" PALLETS:"</f>
        <v>ESTIMATED LBS PALLETS:</v>
      </c>
    </row>
    <row r="7" spans="1:26" ht="18" hidden="1" customHeight="1" x14ac:dyDescent="0.25">
      <c r="B7" s="15" t="str">
        <f t="shared" si="0"/>
        <v>Hide</v>
      </c>
      <c r="E7" s="12" t="s">
        <v>39</v>
      </c>
      <c r="F7" s="29">
        <v>42612</v>
      </c>
      <c r="K7" s="12"/>
      <c r="M7" s="30"/>
      <c r="P7" s="12"/>
      <c r="W7" s="12" t="s">
        <v>46</v>
      </c>
    </row>
    <row r="8" spans="1:26" ht="15" hidden="1" customHeight="1" x14ac:dyDescent="0.25">
      <c r="A8" s="1" t="s">
        <v>6</v>
      </c>
      <c r="B8" s="15" t="str">
        <f t="shared" si="0"/>
        <v>Hide</v>
      </c>
      <c r="E8" s="12" t="s">
        <v>40</v>
      </c>
      <c r="F8" s="27" t="str">
        <f>E14</f>
        <v>A105108|A105108</v>
      </c>
      <c r="K8" s="12"/>
      <c r="L8" s="5"/>
      <c r="P8" s="12"/>
      <c r="W8" s="12" t="s">
        <v>47</v>
      </c>
    </row>
    <row r="9" spans="1:26" ht="15" hidden="1" customHeight="1" x14ac:dyDescent="0.25">
      <c r="A9" s="1" t="s">
        <v>6</v>
      </c>
      <c r="B9" s="15" t="str">
        <f t="shared" si="0"/>
        <v>Hide</v>
      </c>
      <c r="E9" s="12" t="s">
        <v>41</v>
      </c>
      <c r="F9" s="27" t="str">
        <f>F14</f>
        <v>ITPN-207416|ITPN-207416</v>
      </c>
      <c r="K9" s="12"/>
      <c r="L9" s="5"/>
      <c r="M9" s="13"/>
      <c r="P9" s="12"/>
      <c r="W9" s="12" t="s">
        <v>48</v>
      </c>
    </row>
    <row r="10" spans="1:26" ht="15" hidden="1" customHeight="1" x14ac:dyDescent="0.25">
      <c r="A10" s="1" t="s">
        <v>6</v>
      </c>
      <c r="B10" s="15" t="str">
        <f t="shared" si="0"/>
        <v>Hide</v>
      </c>
    </row>
    <row r="11" spans="1:26" ht="15.75" hidden="1" customHeight="1" x14ac:dyDescent="0.25">
      <c r="A11" s="1" t="s">
        <v>6</v>
      </c>
      <c r="B11" s="15" t="str">
        <f t="shared" si="0"/>
        <v>Hide</v>
      </c>
      <c r="E11" s="1" t="s">
        <v>8</v>
      </c>
      <c r="F11" s="1" t="s">
        <v>9</v>
      </c>
      <c r="H11" s="12"/>
      <c r="I11" s="20"/>
      <c r="J11" s="20"/>
      <c r="K11" s="20"/>
      <c r="L11" s="20"/>
      <c r="M11" s="20"/>
    </row>
    <row r="12" spans="1:26" hidden="1" x14ac:dyDescent="0.25">
      <c r="A12" s="1" t="s">
        <v>6</v>
      </c>
      <c r="B12" s="15" t="str">
        <f t="shared" si="0"/>
        <v>Hide</v>
      </c>
      <c r="C12" s="1" t="s">
        <v>1201</v>
      </c>
      <c r="E12" s="1" t="s">
        <v>1202</v>
      </c>
      <c r="F12" s="1" t="s">
        <v>1203</v>
      </c>
      <c r="I12" s="20"/>
      <c r="J12" s="20"/>
      <c r="K12" s="20"/>
      <c r="L12" s="20"/>
      <c r="M12" s="20"/>
    </row>
    <row r="13" spans="1:26" hidden="1" x14ac:dyDescent="0.25">
      <c r="A13" s="1" t="s">
        <v>6</v>
      </c>
      <c r="B13" s="15" t="str">
        <f t="shared" si="0"/>
        <v>Hide</v>
      </c>
      <c r="C13" s="1" t="s">
        <v>1202</v>
      </c>
      <c r="E13" s="1" t="str">
        <f>E12</f>
        <v>A105108</v>
      </c>
      <c r="F13" s="1" t="str">
        <f>F12</f>
        <v>ITPN-207416</v>
      </c>
      <c r="I13" s="20"/>
      <c r="J13" s="20"/>
      <c r="K13" s="20"/>
      <c r="L13" s="20"/>
      <c r="M13" s="20"/>
    </row>
    <row r="14" spans="1:26" hidden="1" x14ac:dyDescent="0.25">
      <c r="A14" s="1" t="s">
        <v>6</v>
      </c>
      <c r="B14" s="15" t="str">
        <f t="shared" si="0"/>
        <v>Hide</v>
      </c>
      <c r="E14" s="8" t="s">
        <v>1204</v>
      </c>
      <c r="F14" s="8" t="s">
        <v>1205</v>
      </c>
      <c r="I14" s="20"/>
      <c r="J14" s="20"/>
      <c r="K14" s="20"/>
      <c r="L14" s="20"/>
      <c r="M14" s="20"/>
    </row>
    <row r="15" spans="1:26" hidden="1" x14ac:dyDescent="0.25">
      <c r="B15" s="15" t="str">
        <f t="shared" si="0"/>
        <v>Hide</v>
      </c>
      <c r="E15" s="12" t="s">
        <v>20</v>
      </c>
      <c r="F15" s="140" t="s">
        <v>179</v>
      </c>
      <c r="G15" s="141"/>
      <c r="H15" s="141"/>
      <c r="I15" s="141"/>
      <c r="J15" s="141"/>
      <c r="K15" s="141"/>
      <c r="L15" s="141"/>
      <c r="M15" s="142"/>
    </row>
    <row r="16" spans="1:26" hidden="1" x14ac:dyDescent="0.25">
      <c r="B16" s="15" t="str">
        <f t="shared" si="0"/>
        <v>Hide</v>
      </c>
      <c r="F16" s="143"/>
      <c r="G16" s="144"/>
      <c r="H16" s="144"/>
      <c r="I16" s="144"/>
      <c r="J16" s="144"/>
      <c r="K16" s="144"/>
      <c r="L16" s="144"/>
      <c r="M16" s="145"/>
    </row>
    <row r="17" spans="1:17" ht="15.75" hidden="1" thickBot="1" x14ac:dyDescent="0.3">
      <c r="B17" s="15" t="str">
        <f t="shared" si="0"/>
        <v>Hide</v>
      </c>
      <c r="F17" s="146"/>
      <c r="G17" s="147"/>
      <c r="H17" s="147"/>
      <c r="I17" s="147"/>
      <c r="J17" s="147"/>
      <c r="K17" s="147"/>
      <c r="L17" s="147"/>
      <c r="M17" s="148"/>
    </row>
    <row r="18" spans="1:17" hidden="1" x14ac:dyDescent="0.25">
      <c r="B18" s="15" t="str">
        <f t="shared" si="0"/>
        <v>Hide</v>
      </c>
    </row>
    <row r="19" spans="1:17" hidden="1" x14ac:dyDescent="0.25">
      <c r="B19" s="15" t="str">
        <f t="shared" si="0"/>
        <v>Hide</v>
      </c>
      <c r="E19" s="12" t="s">
        <v>33</v>
      </c>
      <c r="F19" s="3"/>
      <c r="G19" s="44"/>
      <c r="H19" s="12" t="s">
        <v>53</v>
      </c>
      <c r="I19" s="3"/>
      <c r="J19" s="3"/>
      <c r="K19" s="3"/>
    </row>
    <row r="20" spans="1:17" hidden="1" x14ac:dyDescent="0.25">
      <c r="B20" s="15" t="str">
        <f t="shared" si="0"/>
        <v>Hide</v>
      </c>
      <c r="E20" s="12"/>
    </row>
    <row r="21" spans="1:17" hidden="1" x14ac:dyDescent="0.25">
      <c r="B21" s="15" t="str">
        <f t="shared" si="0"/>
        <v>Hide</v>
      </c>
      <c r="E21" s="12" t="s">
        <v>32</v>
      </c>
      <c r="F21" s="3"/>
      <c r="G21" s="44"/>
      <c r="H21" s="12" t="s">
        <v>54</v>
      </c>
      <c r="I21" s="3"/>
      <c r="J21" s="3"/>
      <c r="K21" s="3"/>
    </row>
    <row r="22" spans="1:17" hidden="1" x14ac:dyDescent="0.25">
      <c r="B22" s="15" t="str">
        <f t="shared" si="0"/>
        <v>Hide</v>
      </c>
      <c r="C22" s="1" t="s">
        <v>52</v>
      </c>
      <c r="D22" s="1" t="s">
        <v>52</v>
      </c>
      <c r="F22" s="2"/>
      <c r="I22" s="20"/>
      <c r="J22" s="20"/>
      <c r="K22" s="20"/>
      <c r="L22" s="20"/>
      <c r="M22" s="20"/>
    </row>
    <row r="23" spans="1:17" s="4" customFormat="1" ht="15.95" hidden="1" customHeight="1" x14ac:dyDescent="0.25">
      <c r="A23" s="14"/>
      <c r="B23" s="15" t="str">
        <f t="shared" si="0"/>
        <v>Hide</v>
      </c>
      <c r="C23" s="16" t="s">
        <v>59</v>
      </c>
      <c r="D23" s="39" t="s">
        <v>28</v>
      </c>
      <c r="E23" s="39" t="s">
        <v>26</v>
      </c>
      <c r="F23" s="39" t="s">
        <v>29</v>
      </c>
      <c r="G23" s="39" t="s">
        <v>57</v>
      </c>
      <c r="H23" s="39" t="s">
        <v>27</v>
      </c>
      <c r="I23" s="39" t="s">
        <v>25</v>
      </c>
      <c r="J23" s="39" t="s">
        <v>10</v>
      </c>
      <c r="K23" s="39" t="s">
        <v>24</v>
      </c>
      <c r="L23" s="40"/>
      <c r="M23" s="39" t="s">
        <v>31</v>
      </c>
      <c r="N23" s="17" t="s">
        <v>21</v>
      </c>
      <c r="O23" s="17" t="s">
        <v>22</v>
      </c>
      <c r="P23" s="17" t="s">
        <v>23</v>
      </c>
      <c r="Q23" s="17"/>
    </row>
    <row r="24" spans="1:17" ht="24.95" hidden="1" customHeight="1" x14ac:dyDescent="0.25">
      <c r="B24" s="8" t="str">
        <f>IF(I24="","Hide","Show")</f>
        <v>Hide</v>
      </c>
      <c r="C24" s="1" t="s">
        <v>179</v>
      </c>
      <c r="D24" s="38" t="s">
        <v>179</v>
      </c>
      <c r="E24" s="38" t="s">
        <v>179</v>
      </c>
      <c r="F24" s="38" t="s">
        <v>179</v>
      </c>
      <c r="G24" s="41" t="s">
        <v>180</v>
      </c>
      <c r="H24" s="35" t="s">
        <v>179</v>
      </c>
      <c r="I24" s="38" t="s">
        <v>179</v>
      </c>
      <c r="J24" s="38" t="s">
        <v>179</v>
      </c>
      <c r="K24" s="34"/>
      <c r="L24" s="36"/>
      <c r="M24" s="36"/>
      <c r="N24" s="30" t="s">
        <v>179</v>
      </c>
      <c r="O24" s="30" t="s">
        <v>179</v>
      </c>
      <c r="P24" s="30" t="s">
        <v>179</v>
      </c>
      <c r="Q24" s="37" t="s">
        <v>56</v>
      </c>
    </row>
    <row r="25" spans="1:17" hidden="1" x14ac:dyDescent="0.25">
      <c r="B25" s="1" t="str">
        <f>B24</f>
        <v>Hide</v>
      </c>
      <c r="H25" s="30"/>
      <c r="I25" s="30"/>
    </row>
    <row r="26" spans="1:17" ht="15.75" hidden="1" thickBot="1" x14ac:dyDescent="0.3">
      <c r="B26" s="1" t="str">
        <f>+B25</f>
        <v>Hide</v>
      </c>
      <c r="D26" s="149" t="str">
        <f>+"END OF "&amp;D2</f>
        <v>END OF DALLAS LIFE FOUNDATION  (001042RA) - NO F4K</v>
      </c>
      <c r="E26" s="150"/>
      <c r="F26" s="150"/>
      <c r="G26" s="150"/>
      <c r="H26" s="150"/>
      <c r="I26" s="150"/>
      <c r="J26" s="150"/>
      <c r="K26" s="150"/>
      <c r="L26" s="150"/>
      <c r="M26" s="151"/>
    </row>
    <row r="27" spans="1:17" ht="15.75" thickBot="1" x14ac:dyDescent="0.3"/>
    <row r="28" spans="1:17" ht="80.099999999999994" customHeight="1" thickBot="1" x14ac:dyDescent="0.3">
      <c r="A28" s="15" t="s">
        <v>30</v>
      </c>
      <c r="D28" s="121" t="str">
        <f>+F6</f>
        <v>PICKUP</v>
      </c>
      <c r="E28" s="122"/>
      <c r="F28" s="122"/>
      <c r="G28" s="122"/>
      <c r="H28" s="122"/>
      <c r="I28" s="122"/>
      <c r="J28" s="122"/>
      <c r="K28" s="122"/>
      <c r="L28" s="122"/>
      <c r="M28" s="123"/>
    </row>
    <row r="29" spans="1:17" ht="36.75" x14ac:dyDescent="0.45">
      <c r="A29" s="15" t="s">
        <v>30</v>
      </c>
      <c r="D29" s="127" t="s">
        <v>12</v>
      </c>
      <c r="E29" s="128"/>
      <c r="F29" s="152" t="str">
        <f>+F4</f>
        <v>001042RA</v>
      </c>
      <c r="G29" s="152"/>
      <c r="H29" s="152"/>
      <c r="I29" s="152"/>
      <c r="J29" s="152"/>
      <c r="K29" s="152"/>
      <c r="L29" s="152"/>
      <c r="M29" s="153"/>
    </row>
    <row r="30" spans="1:17" ht="37.5" customHeight="1" thickBot="1" x14ac:dyDescent="0.5">
      <c r="A30" s="15" t="s">
        <v>30</v>
      </c>
      <c r="D30" s="132" t="s">
        <v>5</v>
      </c>
      <c r="E30" s="133"/>
      <c r="F30" s="135" t="str">
        <f>+F5</f>
        <v>DALLAS LIFE FOUNDATION</v>
      </c>
      <c r="G30" s="135"/>
      <c r="H30" s="135"/>
      <c r="I30" s="135"/>
      <c r="J30" s="135"/>
      <c r="K30" s="135"/>
      <c r="L30" s="135"/>
      <c r="M30" s="136"/>
      <c r="N30" s="26"/>
      <c r="O30" s="26"/>
      <c r="P30" s="26"/>
    </row>
    <row r="31" spans="1:17" ht="33.75" hidden="1" thickBot="1" x14ac:dyDescent="0.45">
      <c r="A31" s="15" t="s">
        <v>19</v>
      </c>
      <c r="D31" s="154" t="s">
        <v>49</v>
      </c>
      <c r="E31" s="155"/>
      <c r="F31" s="21"/>
      <c r="G31" s="45"/>
      <c r="H31" s="21"/>
      <c r="I31" s="21"/>
      <c r="J31" s="21"/>
      <c r="K31" s="21"/>
      <c r="L31" s="21"/>
      <c r="M31" s="22"/>
    </row>
    <row r="32" spans="1:17" ht="30" hidden="1" customHeight="1" x14ac:dyDescent="0.25">
      <c r="A32" s="15" t="s">
        <v>19</v>
      </c>
      <c r="D32" s="23"/>
      <c r="E32" s="24"/>
      <c r="F32" s="156" t="s">
        <v>1202</v>
      </c>
      <c r="G32" s="156"/>
      <c r="H32" s="156"/>
      <c r="I32" s="156"/>
      <c r="J32" s="156"/>
      <c r="K32" s="156"/>
      <c r="L32" s="156"/>
      <c r="M32" s="157"/>
    </row>
    <row r="33" spans="1:13" ht="15.75" hidden="1" customHeight="1" thickBot="1" x14ac:dyDescent="0.3">
      <c r="A33" s="15" t="s">
        <v>19</v>
      </c>
      <c r="D33" s="23"/>
      <c r="E33" s="24"/>
      <c r="F33" s="24"/>
      <c r="G33" s="46"/>
      <c r="H33" s="24"/>
      <c r="I33" s="24"/>
      <c r="J33" s="24"/>
      <c r="K33" s="24"/>
      <c r="L33" s="24"/>
      <c r="M33" s="25"/>
    </row>
    <row r="34" spans="1:13" ht="36.75" x14ac:dyDescent="0.45">
      <c r="A34" s="15" t="s">
        <v>30</v>
      </c>
      <c r="D34" s="127" t="s">
        <v>50</v>
      </c>
      <c r="E34" s="128"/>
      <c r="F34" s="129">
        <f>+F7</f>
        <v>42612</v>
      </c>
      <c r="G34" s="130"/>
      <c r="H34" s="130"/>
      <c r="I34" s="130"/>
      <c r="J34" s="130"/>
      <c r="K34" s="130"/>
      <c r="L34" s="130"/>
      <c r="M34" s="131"/>
    </row>
    <row r="35" spans="1:13" ht="37.5" thickBot="1" x14ac:dyDescent="0.5">
      <c r="A35" s="15" t="s">
        <v>30</v>
      </c>
      <c r="D35" s="132" t="s">
        <v>32</v>
      </c>
      <c r="E35" s="133"/>
      <c r="F35" s="134"/>
      <c r="G35" s="135"/>
      <c r="H35" s="135"/>
      <c r="I35" s="135"/>
      <c r="J35" s="135"/>
      <c r="K35" s="135"/>
      <c r="L35" s="135"/>
      <c r="M35" s="136"/>
    </row>
    <row r="36" spans="1:13" ht="80.099999999999994" customHeight="1" thickBot="1" x14ac:dyDescent="0.3">
      <c r="A36" s="15" t="s">
        <v>30</v>
      </c>
      <c r="D36" s="118" t="s">
        <v>51</v>
      </c>
      <c r="E36" s="119"/>
      <c r="F36" s="119"/>
      <c r="G36" s="119"/>
      <c r="H36" s="119"/>
      <c r="I36" s="119"/>
      <c r="J36" s="119"/>
      <c r="K36" s="119"/>
      <c r="L36" s="119"/>
      <c r="M36" s="120"/>
    </row>
    <row r="37" spans="1:13" ht="90" customHeight="1" thickBot="1" x14ac:dyDescent="0.3">
      <c r="A37" s="15" t="s">
        <v>30</v>
      </c>
      <c r="D37" s="121" t="str">
        <f>IF(F6="DELIVER",G6,F6)</f>
        <v>PICKUP</v>
      </c>
      <c r="E37" s="122"/>
      <c r="F37" s="122"/>
      <c r="G37" s="122"/>
      <c r="H37" s="122"/>
      <c r="I37" s="122"/>
      <c r="J37" s="122"/>
      <c r="K37" s="122"/>
      <c r="L37" s="122"/>
      <c r="M37" s="123"/>
    </row>
    <row r="38" spans="1:13" ht="60" customHeight="1" thickBot="1" x14ac:dyDescent="0.3">
      <c r="A38" s="15" t="s">
        <v>30</v>
      </c>
      <c r="D38" s="124" t="s">
        <v>55</v>
      </c>
      <c r="E38" s="125"/>
      <c r="F38" s="125"/>
      <c r="G38" s="125"/>
      <c r="H38" s="125"/>
      <c r="I38" s="125"/>
      <c r="J38" s="125"/>
      <c r="K38" s="125"/>
      <c r="L38" s="125"/>
      <c r="M38" s="126"/>
    </row>
  </sheetData>
  <mergeCells count="17">
    <mergeCell ref="D30:E30"/>
    <mergeCell ref="F30:M30"/>
    <mergeCell ref="D31:E31"/>
    <mergeCell ref="F32:M32"/>
    <mergeCell ref="D2:M2"/>
    <mergeCell ref="F15:M17"/>
    <mergeCell ref="D26:M26"/>
    <mergeCell ref="D28:M28"/>
    <mergeCell ref="D29:E29"/>
    <mergeCell ref="F29:M29"/>
    <mergeCell ref="D36:M36"/>
    <mergeCell ref="D37:M37"/>
    <mergeCell ref="D38:M38"/>
    <mergeCell ref="D34:E34"/>
    <mergeCell ref="F34:M34"/>
    <mergeCell ref="D35:E35"/>
    <mergeCell ref="F35:M35"/>
  </mergeCells>
  <conditionalFormatting sqref="F6">
    <cfRule type="cellIs" dxfId="119" priority="5" operator="equal">
      <formula>"DELIVER"</formula>
    </cfRule>
  </conditionalFormatting>
  <conditionalFormatting sqref="D28">
    <cfRule type="cellIs" dxfId="118" priority="4" operator="equal">
      <formula>"DELIVER"</formula>
    </cfRule>
  </conditionalFormatting>
  <conditionalFormatting sqref="D2:M2">
    <cfRule type="expression" dxfId="117" priority="3">
      <formula>$F$6="DELIVER"</formula>
    </cfRule>
  </conditionalFormatting>
  <conditionalFormatting sqref="G6">
    <cfRule type="expression" dxfId="116" priority="2">
      <formula>$F$6="DELIVER"</formula>
    </cfRule>
  </conditionalFormatting>
  <conditionalFormatting sqref="D37">
    <cfRule type="expression" dxfId="11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1746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>HIDESHEET</v>
      </c>
      <c r="C2" s="74" t="s">
        <v>7</v>
      </c>
      <c r="D2" s="181" t="str">
        <f>IF(E24="",F5&amp;"  ("&amp;F4&amp;") - NO "&amp;C23,F5&amp;"  ("&amp;F4&amp;") - "&amp;C23&amp;" PICK LIST")</f>
        <v>DUNCANVILLE OUTREACH MINISTRY  (002051P)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"002051P"</f>
        <v>002051P</v>
      </c>
      <c r="E4" s="101" t="s">
        <v>37</v>
      </c>
      <c r="F4" s="105" t="str">
        <f>C4</f>
        <v>002051P</v>
      </c>
      <c r="K4" s="101" t="s">
        <v>42</v>
      </c>
      <c r="L4" s="104"/>
      <c r="M4" s="111">
        <f>SUM(I24:I25)</f>
        <v>0</v>
      </c>
    </row>
    <row r="5" spans="1:26" ht="18" hidden="1" customHeight="1" x14ac:dyDescent="0.25">
      <c r="B5" s="76" t="str">
        <f t="shared" si="0"/>
        <v>Hide</v>
      </c>
      <c r="C5" s="109" t="s">
        <v>1221</v>
      </c>
      <c r="E5" s="101" t="s">
        <v>36</v>
      </c>
      <c r="F5" s="112" t="s">
        <v>1187</v>
      </c>
      <c r="K5" s="101" t="s">
        <v>43</v>
      </c>
      <c r="L5" s="104"/>
      <c r="M5" s="111">
        <f>ROUND(SUM(O24:O25),0)</f>
        <v>0</v>
      </c>
    </row>
    <row r="6" spans="1:26" ht="18" hidden="1" customHeight="1" x14ac:dyDescent="0.25">
      <c r="B6" s="76" t="str">
        <f t="shared" si="0"/>
        <v>Hide</v>
      </c>
      <c r="C6" s="109" t="s">
        <v>1225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ROUND(COUNT(O24:O25),0)</f>
        <v>0</v>
      </c>
      <c r="P6" s="101"/>
      <c r="W6" s="101" t="str">
        <f>"ESTIMATED "&amp;O23&amp;"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E14</f>
        <v>A108341|A108341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F14</f>
        <v>ITPN-207475|ITPN-207475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 t="shared" si="0"/>
        <v>Hide</v>
      </c>
      <c r="C12" s="74" t="s">
        <v>1221</v>
      </c>
      <c r="E12" s="74" t="s">
        <v>1216</v>
      </c>
      <c r="F12" s="74" t="s">
        <v>1222</v>
      </c>
      <c r="I12" s="98"/>
      <c r="J12" s="98"/>
      <c r="K12" s="98"/>
      <c r="L12" s="98"/>
      <c r="M12" s="98"/>
    </row>
    <row r="13" spans="1:26" hidden="1" x14ac:dyDescent="0.25">
      <c r="A13" s="74" t="s">
        <v>6</v>
      </c>
      <c r="B13" s="76" t="str">
        <f t="shared" si="0"/>
        <v>Hide</v>
      </c>
      <c r="C13" s="74" t="s">
        <v>1216</v>
      </c>
      <c r="E13" s="74" t="str">
        <f>E12</f>
        <v>A108341</v>
      </c>
      <c r="F13" s="74" t="str">
        <f>F12</f>
        <v>ITPN-207475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si="0"/>
        <v>Hide</v>
      </c>
      <c r="E14" s="92" t="s">
        <v>1223</v>
      </c>
      <c r="F14" s="92" t="s">
        <v>1224</v>
      </c>
      <c r="I14" s="98"/>
      <c r="J14" s="98"/>
      <c r="K14" s="98"/>
      <c r="L14" s="98"/>
      <c r="M14" s="98"/>
    </row>
    <row r="15" spans="1:26" hidden="1" x14ac:dyDescent="0.25">
      <c r="B15" s="76" t="str">
        <f t="shared" si="0"/>
        <v>Hide</v>
      </c>
      <c r="E15" s="101" t="s">
        <v>20</v>
      </c>
      <c r="F15" s="184" t="s">
        <v>179</v>
      </c>
      <c r="G15" s="185"/>
      <c r="H15" s="185"/>
      <c r="I15" s="185"/>
      <c r="J15" s="185"/>
      <c r="K15" s="185"/>
      <c r="L15" s="185"/>
      <c r="M15" s="186"/>
    </row>
    <row r="16" spans="1:26" hidden="1" x14ac:dyDescent="0.25">
      <c r="B16" s="76" t="str">
        <f t="shared" si="0"/>
        <v>Hide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hidden="1" thickBot="1" x14ac:dyDescent="0.3">
      <c r="B17" s="76" t="str">
        <f t="shared" si="0"/>
        <v>Hide</v>
      </c>
      <c r="F17" s="190"/>
      <c r="G17" s="191"/>
      <c r="H17" s="191"/>
      <c r="I17" s="191"/>
      <c r="J17" s="191"/>
      <c r="K17" s="191"/>
      <c r="L17" s="191"/>
      <c r="M17" s="192"/>
    </row>
    <row r="18" spans="1:17" hidden="1" x14ac:dyDescent="0.25">
      <c r="B18" s="76" t="str">
        <f t="shared" si="0"/>
        <v>Hide</v>
      </c>
    </row>
    <row r="19" spans="1:17" hidden="1" x14ac:dyDescent="0.25">
      <c r="B19" s="76" t="str">
        <f t="shared" si="0"/>
        <v>Hide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hidden="1" x14ac:dyDescent="0.25">
      <c r="B20" s="76" t="str">
        <f t="shared" si="0"/>
        <v>Hide</v>
      </c>
      <c r="E20" s="101"/>
    </row>
    <row r="21" spans="1:17" hidden="1" x14ac:dyDescent="0.25">
      <c r="B21" s="76" t="str">
        <f t="shared" si="0"/>
        <v>Hide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hidden="1" x14ac:dyDescent="0.25">
      <c r="B22" s="76" t="str">
        <f t="shared" si="0"/>
        <v>Hide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hidden="1" customHeight="1" x14ac:dyDescent="0.25">
      <c r="A23" s="97"/>
      <c r="B23" s="76" t="str">
        <f t="shared" si="0"/>
        <v>Hide</v>
      </c>
      <c r="C23" s="117" t="s">
        <v>59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hidden="1" customHeight="1" x14ac:dyDescent="0.25">
      <c r="B24" s="92" t="str">
        <f>IF(I24="","Hide","Show")</f>
        <v>Hide</v>
      </c>
      <c r="C24" s="74" t="s">
        <v>179</v>
      </c>
      <c r="D24" s="89" t="s">
        <v>179</v>
      </c>
      <c r="E24" s="89" t="s">
        <v>179</v>
      </c>
      <c r="F24" s="89" t="s">
        <v>179</v>
      </c>
      <c r="G24" s="91" t="s">
        <v>180</v>
      </c>
      <c r="H24" s="90" t="s">
        <v>179</v>
      </c>
      <c r="I24" s="89" t="s">
        <v>179</v>
      </c>
      <c r="J24" s="89" t="s">
        <v>179</v>
      </c>
      <c r="K24" s="88"/>
      <c r="L24" s="87"/>
      <c r="M24" s="87"/>
      <c r="N24" s="85" t="s">
        <v>179</v>
      </c>
      <c r="O24" s="85" t="s">
        <v>179</v>
      </c>
      <c r="P24" s="85" t="s">
        <v>179</v>
      </c>
      <c r="Q24" s="86" t="s">
        <v>56</v>
      </c>
    </row>
    <row r="25" spans="1:17" hidden="1" x14ac:dyDescent="0.25">
      <c r="B25" s="74" t="str">
        <f>B24</f>
        <v>Hide</v>
      </c>
      <c r="H25" s="85"/>
      <c r="I25" s="85"/>
    </row>
    <row r="26" spans="1:17" ht="15.75" hidden="1" thickBot="1" x14ac:dyDescent="0.3">
      <c r="B26" s="74" t="str">
        <f>+B25</f>
        <v>Hide</v>
      </c>
      <c r="D26" s="193" t="str">
        <f>+"END OF "&amp;D2</f>
        <v>END OF DUNCANVILLE OUTREACH MINISTRY  (002051P) - NO F4K</v>
      </c>
      <c r="E26" s="194"/>
      <c r="F26" s="194"/>
      <c r="G26" s="194"/>
      <c r="H26" s="194"/>
      <c r="I26" s="194"/>
      <c r="J26" s="194"/>
      <c r="K26" s="194"/>
      <c r="L26" s="194"/>
      <c r="M26" s="195"/>
    </row>
    <row r="27" spans="1:17" ht="15.75" thickBot="1" x14ac:dyDescent="0.3"/>
    <row r="28" spans="1:17" ht="80.099999999999994" customHeight="1" thickBot="1" x14ac:dyDescent="0.3">
      <c r="A28" s="76" t="s">
        <v>30</v>
      </c>
      <c r="D28" s="166" t="str">
        <f>+F6</f>
        <v>PICKUP</v>
      </c>
      <c r="E28" s="167"/>
      <c r="F28" s="167"/>
      <c r="G28" s="167"/>
      <c r="H28" s="167"/>
      <c r="I28" s="167"/>
      <c r="J28" s="167"/>
      <c r="K28" s="167"/>
      <c r="L28" s="167"/>
      <c r="M28" s="168"/>
    </row>
    <row r="29" spans="1:17" ht="36.75" x14ac:dyDescent="0.45">
      <c r="A29" s="76" t="s">
        <v>30</v>
      </c>
      <c r="D29" s="176" t="s">
        <v>12</v>
      </c>
      <c r="E29" s="177"/>
      <c r="F29" s="196" t="str">
        <f>+F4</f>
        <v>002051P</v>
      </c>
      <c r="G29" s="196"/>
      <c r="H29" s="196"/>
      <c r="I29" s="196"/>
      <c r="J29" s="196"/>
      <c r="K29" s="196"/>
      <c r="L29" s="196"/>
      <c r="M29" s="197"/>
    </row>
    <row r="30" spans="1:17" ht="37.5" customHeight="1" thickBot="1" x14ac:dyDescent="0.5">
      <c r="A30" s="76" t="s">
        <v>30</v>
      </c>
      <c r="D30" s="158" t="s">
        <v>5</v>
      </c>
      <c r="E30" s="159"/>
      <c r="F30" s="161" t="str">
        <f>+F5</f>
        <v>DUNCANVILLE OUTREACH MINISTRY</v>
      </c>
      <c r="G30" s="161"/>
      <c r="H30" s="161"/>
      <c r="I30" s="161"/>
      <c r="J30" s="161"/>
      <c r="K30" s="161"/>
      <c r="L30" s="161"/>
      <c r="M30" s="162"/>
      <c r="N30" s="84"/>
      <c r="O30" s="84"/>
      <c r="P30" s="84"/>
    </row>
    <row r="31" spans="1:17" ht="33.75" hidden="1" thickBot="1" x14ac:dyDescent="0.45">
      <c r="A31" s="76" t="s">
        <v>19</v>
      </c>
      <c r="D31" s="172" t="s">
        <v>49</v>
      </c>
      <c r="E31" s="173"/>
      <c r="F31" s="82"/>
      <c r="G31" s="83"/>
      <c r="H31" s="82"/>
      <c r="I31" s="82"/>
      <c r="J31" s="82"/>
      <c r="K31" s="82"/>
      <c r="L31" s="82"/>
      <c r="M31" s="81"/>
    </row>
    <row r="32" spans="1:17" ht="30" hidden="1" customHeight="1" x14ac:dyDescent="0.25">
      <c r="A32" s="76" t="s">
        <v>19</v>
      </c>
      <c r="D32" s="80"/>
      <c r="E32" s="78"/>
      <c r="F32" s="174" t="s">
        <v>1216</v>
      </c>
      <c r="G32" s="174"/>
      <c r="H32" s="174"/>
      <c r="I32" s="174"/>
      <c r="J32" s="174"/>
      <c r="K32" s="174"/>
      <c r="L32" s="174"/>
      <c r="M32" s="175"/>
    </row>
    <row r="33" spans="1:13" ht="15.75" hidden="1" customHeight="1" thickBot="1" x14ac:dyDescent="0.3">
      <c r="A33" s="76" t="s">
        <v>19</v>
      </c>
      <c r="D33" s="80"/>
      <c r="E33" s="78"/>
      <c r="F33" s="78"/>
      <c r="G33" s="79"/>
      <c r="H33" s="78"/>
      <c r="I33" s="78"/>
      <c r="J33" s="78"/>
      <c r="K33" s="78"/>
      <c r="L33" s="78"/>
      <c r="M33" s="77"/>
    </row>
    <row r="34" spans="1:13" ht="36.75" x14ac:dyDescent="0.45">
      <c r="A34" s="76" t="s">
        <v>30</v>
      </c>
      <c r="D34" s="176" t="s">
        <v>50</v>
      </c>
      <c r="E34" s="177"/>
      <c r="F34" s="178">
        <f>+F7</f>
        <v>42612</v>
      </c>
      <c r="G34" s="179"/>
      <c r="H34" s="179"/>
      <c r="I34" s="179"/>
      <c r="J34" s="179"/>
      <c r="K34" s="179"/>
      <c r="L34" s="179"/>
      <c r="M34" s="180"/>
    </row>
    <row r="35" spans="1:13" ht="37.5" thickBot="1" x14ac:dyDescent="0.5">
      <c r="A35" s="76" t="s">
        <v>30</v>
      </c>
      <c r="D35" s="158" t="s">
        <v>32</v>
      </c>
      <c r="E35" s="159"/>
      <c r="F35" s="160"/>
      <c r="G35" s="161"/>
      <c r="H35" s="161"/>
      <c r="I35" s="161"/>
      <c r="J35" s="161"/>
      <c r="K35" s="161"/>
      <c r="L35" s="161"/>
      <c r="M35" s="162"/>
    </row>
    <row r="36" spans="1:13" ht="80.099999999999994" customHeight="1" thickBot="1" x14ac:dyDescent="0.3">
      <c r="A36" s="76" t="s">
        <v>30</v>
      </c>
      <c r="D36" s="163" t="s">
        <v>51</v>
      </c>
      <c r="E36" s="164"/>
      <c r="F36" s="164"/>
      <c r="G36" s="164"/>
      <c r="H36" s="164"/>
      <c r="I36" s="164"/>
      <c r="J36" s="164"/>
      <c r="K36" s="164"/>
      <c r="L36" s="164"/>
      <c r="M36" s="165"/>
    </row>
    <row r="37" spans="1:13" ht="90" customHeight="1" thickBot="1" x14ac:dyDescent="0.3">
      <c r="A37" s="76" t="s">
        <v>30</v>
      </c>
      <c r="D37" s="166" t="str">
        <f>IF(F6="DELIVER",G6,F6)</f>
        <v>PICKUP</v>
      </c>
      <c r="E37" s="167"/>
      <c r="F37" s="167"/>
      <c r="G37" s="167"/>
      <c r="H37" s="167"/>
      <c r="I37" s="167"/>
      <c r="J37" s="167"/>
      <c r="K37" s="167"/>
      <c r="L37" s="167"/>
      <c r="M37" s="168"/>
    </row>
    <row r="38" spans="1:13" ht="60" customHeight="1" thickBot="1" x14ac:dyDescent="0.3">
      <c r="A38" s="76" t="s">
        <v>30</v>
      </c>
      <c r="D38" s="169" t="s">
        <v>55</v>
      </c>
      <c r="E38" s="170"/>
      <c r="F38" s="170"/>
      <c r="G38" s="170"/>
      <c r="H38" s="170"/>
      <c r="I38" s="170"/>
      <c r="J38" s="170"/>
      <c r="K38" s="170"/>
      <c r="L38" s="170"/>
      <c r="M38" s="171"/>
    </row>
  </sheetData>
  <mergeCells count="17">
    <mergeCell ref="D2:M2"/>
    <mergeCell ref="F15:M17"/>
    <mergeCell ref="D26:M26"/>
    <mergeCell ref="D28:M28"/>
    <mergeCell ref="D29:E29"/>
    <mergeCell ref="F29:M29"/>
    <mergeCell ref="D30:E30"/>
    <mergeCell ref="F30:M30"/>
    <mergeCell ref="D31:E31"/>
    <mergeCell ref="F32:M32"/>
    <mergeCell ref="D34:E34"/>
    <mergeCell ref="F34:M34"/>
    <mergeCell ref="D35:E35"/>
    <mergeCell ref="F35:M35"/>
    <mergeCell ref="D36:M36"/>
    <mergeCell ref="D37:M37"/>
    <mergeCell ref="D38:M38"/>
  </mergeCells>
  <conditionalFormatting sqref="F6">
    <cfRule type="cellIs" dxfId="114" priority="5" operator="equal">
      <formula>"DELIVER"</formula>
    </cfRule>
  </conditionalFormatting>
  <conditionalFormatting sqref="D28">
    <cfRule type="cellIs" dxfId="113" priority="4" operator="equal">
      <formula>"DELIVER"</formula>
    </cfRule>
  </conditionalFormatting>
  <conditionalFormatting sqref="D2:M2">
    <cfRule type="expression" dxfId="112" priority="3">
      <formula>$F$6="DELIVER"</formula>
    </cfRule>
  </conditionalFormatting>
  <conditionalFormatting sqref="G6">
    <cfRule type="expression" dxfId="111" priority="2">
      <formula>$F$6="DELIVER"</formula>
    </cfRule>
  </conditionalFormatting>
  <conditionalFormatting sqref="D37">
    <cfRule type="expression" dxfId="11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1748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>HIDESHEET</v>
      </c>
      <c r="C2" s="74" t="s">
        <v>7</v>
      </c>
      <c r="D2" s="181" t="str">
        <f>IF(E26="",F5&amp;"  ("&amp;F4&amp;") - NO "&amp;C25,F5&amp;"  ("&amp;F4&amp;") - "&amp;C25&amp;" PICK LIST")</f>
        <v>SALVATION ARMY OAK CLIFF  (002052P)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"002052P"</f>
        <v>002052P</v>
      </c>
      <c r="E4" s="101" t="s">
        <v>37</v>
      </c>
      <c r="F4" s="105" t="str">
        <f>C4</f>
        <v>002052P</v>
      </c>
      <c r="K4" s="101" t="s">
        <v>42</v>
      </c>
      <c r="L4" s="104"/>
      <c r="M4" s="111">
        <f>SUM(I26:I27)</f>
        <v>0</v>
      </c>
    </row>
    <row r="5" spans="1:26" ht="18" hidden="1" customHeight="1" x14ac:dyDescent="0.25">
      <c r="B5" s="76" t="str">
        <f t="shared" si="0"/>
        <v>Hide</v>
      </c>
      <c r="C5" s="109" t="s">
        <v>1230</v>
      </c>
      <c r="E5" s="101" t="s">
        <v>36</v>
      </c>
      <c r="F5" s="112" t="s">
        <v>1194</v>
      </c>
      <c r="K5" s="101" t="s">
        <v>43</v>
      </c>
      <c r="L5" s="104"/>
      <c r="M5" s="111">
        <f>ROUND(SUM(O26:O27),0)</f>
        <v>0</v>
      </c>
    </row>
    <row r="6" spans="1:26" ht="18" hidden="1" customHeight="1" x14ac:dyDescent="0.25">
      <c r="B6" s="76" t="str">
        <f t="shared" si="0"/>
        <v>Hide</v>
      </c>
      <c r="C6" s="109" t="s">
        <v>1231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ROUND(COUNT(O26:O27),0)</f>
        <v>0</v>
      </c>
      <c r="P6" s="101"/>
      <c r="W6" s="101" t="str">
        <f>"ESTIMATED "&amp;O25&amp;"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E16</f>
        <v>A108237|A108237|A108237|A108237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F16</f>
        <v>ITPN-207456|ITPN-207457|ITPN-207460|ITPN-207456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B15</f>
        <v>Hide</v>
      </c>
      <c r="C12" s="74" t="s">
        <v>1230</v>
      </c>
      <c r="E12" s="74" t="s">
        <v>1226</v>
      </c>
      <c r="F12" s="74" t="s">
        <v>1227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4" si="1">B16</f>
        <v>Hide</v>
      </c>
      <c r="C13" s="74" t="str">
        <f>"""Ceres NTFB Live"",""NTFB Live"",""5766"",""1"",""Invt. Pick"",""2"",""ITPN-207457"""</f>
        <v>"Ceres NTFB Live","NTFB Live","5766","1","Invt. Pick","2","ITPN-207457"</v>
      </c>
      <c r="E13" s="74" t="s">
        <v>1226</v>
      </c>
      <c r="F13" s="74" t="s">
        <v>1228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Pick"",""2"",""ITPN-207460"""</f>
        <v>"Ceres NTFB Live","NTFB Live","5766","1","Invt. Pick","2","ITPN-207460"</v>
      </c>
      <c r="E14" s="74" t="s">
        <v>1226</v>
      </c>
      <c r="F14" s="74" t="s">
        <v>1229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ref="B15:B25" si="2">B16</f>
        <v>Hide</v>
      </c>
      <c r="C15" s="74" t="s">
        <v>1226</v>
      </c>
      <c r="E15" s="74" t="str">
        <f>E12</f>
        <v>A108237</v>
      </c>
      <c r="F15" s="74" t="str">
        <f>F12</f>
        <v>ITPN-207456</v>
      </c>
      <c r="I15" s="98"/>
      <c r="J15" s="98"/>
      <c r="K15" s="98"/>
      <c r="L15" s="98"/>
      <c r="M15" s="98"/>
    </row>
    <row r="16" spans="1:26" hidden="1" x14ac:dyDescent="0.25">
      <c r="A16" s="74" t="s">
        <v>6</v>
      </c>
      <c r="B16" s="76" t="str">
        <f t="shared" si="2"/>
        <v>Hide</v>
      </c>
      <c r="E16" s="92" t="s">
        <v>1801</v>
      </c>
      <c r="F16" s="92" t="s">
        <v>1802</v>
      </c>
      <c r="I16" s="98"/>
      <c r="J16" s="98"/>
      <c r="K16" s="98"/>
      <c r="L16" s="98"/>
      <c r="M16" s="98"/>
    </row>
    <row r="17" spans="1:17" hidden="1" x14ac:dyDescent="0.25">
      <c r="B17" s="76" t="str">
        <f t="shared" si="2"/>
        <v>Hide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hidden="1" x14ac:dyDescent="0.25">
      <c r="B18" s="76" t="str">
        <f t="shared" si="2"/>
        <v>Hide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hidden="1" thickBot="1" x14ac:dyDescent="0.3">
      <c r="B19" s="76" t="str">
        <f t="shared" si="2"/>
        <v>Hide</v>
      </c>
      <c r="F19" s="190"/>
      <c r="G19" s="191"/>
      <c r="H19" s="191"/>
      <c r="I19" s="191"/>
      <c r="J19" s="191"/>
      <c r="K19" s="191"/>
      <c r="L19" s="191"/>
      <c r="M19" s="192"/>
    </row>
    <row r="20" spans="1:17" hidden="1" x14ac:dyDescent="0.25">
      <c r="B20" s="76" t="str">
        <f t="shared" si="2"/>
        <v>Hide</v>
      </c>
    </row>
    <row r="21" spans="1:17" hidden="1" x14ac:dyDescent="0.25">
      <c r="B21" s="76" t="str">
        <f t="shared" si="2"/>
        <v>Hide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hidden="1" x14ac:dyDescent="0.25">
      <c r="B22" s="76" t="str">
        <f t="shared" si="2"/>
        <v>Hide</v>
      </c>
      <c r="E22" s="101"/>
    </row>
    <row r="23" spans="1:17" hidden="1" x14ac:dyDescent="0.25">
      <c r="B23" s="76" t="str">
        <f t="shared" si="2"/>
        <v>Hide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hidden="1" x14ac:dyDescent="0.25">
      <c r="B24" s="76" t="str">
        <f t="shared" si="2"/>
        <v>Hide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hidden="1" customHeight="1" x14ac:dyDescent="0.25">
      <c r="A25" s="97"/>
      <c r="B25" s="76" t="str">
        <f t="shared" si="2"/>
        <v>Hide</v>
      </c>
      <c r="C25" s="117" t="s">
        <v>59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hidden="1" customHeight="1" x14ac:dyDescent="0.25">
      <c r="B26" s="92" t="str">
        <f>IF(I26="","Hide","Show")</f>
        <v>Hide</v>
      </c>
      <c r="C26" s="74" t="s">
        <v>179</v>
      </c>
      <c r="D26" s="89" t="s">
        <v>179</v>
      </c>
      <c r="E26" s="89" t="s">
        <v>179</v>
      </c>
      <c r="F26" s="89" t="s">
        <v>179</v>
      </c>
      <c r="G26" s="91" t="s">
        <v>180</v>
      </c>
      <c r="H26" s="90" t="s">
        <v>179</v>
      </c>
      <c r="I26" s="89" t="s">
        <v>179</v>
      </c>
      <c r="J26" s="89" t="s">
        <v>179</v>
      </c>
      <c r="K26" s="88"/>
      <c r="L26" s="87"/>
      <c r="M26" s="87"/>
      <c r="N26" s="85" t="s">
        <v>179</v>
      </c>
      <c r="O26" s="85" t="s">
        <v>179</v>
      </c>
      <c r="P26" s="85" t="s">
        <v>179</v>
      </c>
      <c r="Q26" s="86" t="s">
        <v>56</v>
      </c>
    </row>
    <row r="27" spans="1:17" hidden="1" x14ac:dyDescent="0.25">
      <c r="B27" s="74" t="str">
        <f>B26</f>
        <v>Hide</v>
      </c>
      <c r="H27" s="85"/>
      <c r="I27" s="85"/>
    </row>
    <row r="28" spans="1:17" ht="15.75" hidden="1" thickBot="1" x14ac:dyDescent="0.3">
      <c r="B28" s="74" t="str">
        <f>+B27</f>
        <v>Hide</v>
      </c>
      <c r="D28" s="193" t="str">
        <f>+"END OF "&amp;D2</f>
        <v>END OF SALVATION ARMY OAK CLIFF  (002052P) - NO F4K</v>
      </c>
      <c r="E28" s="194"/>
      <c r="F28" s="194"/>
      <c r="G28" s="194"/>
      <c r="H28" s="194"/>
      <c r="I28" s="194"/>
      <c r="J28" s="194"/>
      <c r="K28" s="194"/>
      <c r="L28" s="194"/>
      <c r="M28" s="195"/>
    </row>
    <row r="29" spans="1:17" ht="15.75" thickBot="1" x14ac:dyDescent="0.3"/>
    <row r="30" spans="1:17" ht="80.099999999999994" customHeight="1" thickBot="1" x14ac:dyDescent="0.3">
      <c r="A30" s="76" t="s">
        <v>30</v>
      </c>
      <c r="D30" s="166" t="str">
        <f>+F6</f>
        <v>PICKUP</v>
      </c>
      <c r="E30" s="167"/>
      <c r="F30" s="167"/>
      <c r="G30" s="167"/>
      <c r="H30" s="167"/>
      <c r="I30" s="167"/>
      <c r="J30" s="167"/>
      <c r="K30" s="167"/>
      <c r="L30" s="167"/>
      <c r="M30" s="168"/>
    </row>
    <row r="31" spans="1:17" ht="36.75" x14ac:dyDescent="0.45">
      <c r="A31" s="76" t="s">
        <v>30</v>
      </c>
      <c r="D31" s="176" t="s">
        <v>12</v>
      </c>
      <c r="E31" s="177"/>
      <c r="F31" s="196" t="str">
        <f>+F4</f>
        <v>002052P</v>
      </c>
      <c r="G31" s="196"/>
      <c r="H31" s="196"/>
      <c r="I31" s="196"/>
      <c r="J31" s="196"/>
      <c r="K31" s="196"/>
      <c r="L31" s="196"/>
      <c r="M31" s="197"/>
    </row>
    <row r="32" spans="1:17" ht="37.5" customHeight="1" thickBot="1" x14ac:dyDescent="0.5">
      <c r="A32" s="76" t="s">
        <v>30</v>
      </c>
      <c r="D32" s="158" t="s">
        <v>5</v>
      </c>
      <c r="E32" s="159"/>
      <c r="F32" s="161" t="str">
        <f>+F5</f>
        <v>SALVATION ARMY OAK CLIFF</v>
      </c>
      <c r="G32" s="161"/>
      <c r="H32" s="161"/>
      <c r="I32" s="161"/>
      <c r="J32" s="161"/>
      <c r="K32" s="161"/>
      <c r="L32" s="161"/>
      <c r="M32" s="162"/>
      <c r="N32" s="84"/>
      <c r="O32" s="84"/>
      <c r="P32" s="84"/>
    </row>
    <row r="33" spans="1:13" ht="33.75" hidden="1" thickBot="1" x14ac:dyDescent="0.45">
      <c r="A33" s="76" t="s">
        <v>19</v>
      </c>
      <c r="D33" s="172" t="s">
        <v>49</v>
      </c>
      <c r="E33" s="173"/>
      <c r="F33" s="82"/>
      <c r="G33" s="83"/>
      <c r="H33" s="82"/>
      <c r="I33" s="82"/>
      <c r="J33" s="82"/>
      <c r="K33" s="82"/>
      <c r="L33" s="82"/>
      <c r="M33" s="81"/>
    </row>
    <row r="34" spans="1:13" ht="30" hidden="1" customHeight="1" x14ac:dyDescent="0.25">
      <c r="A34" s="76" t="s">
        <v>19</v>
      </c>
      <c r="D34" s="80"/>
      <c r="E34" s="78"/>
      <c r="F34" s="174" t="s">
        <v>1226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>PICKUP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7">
    <mergeCell ref="D2:M2"/>
    <mergeCell ref="F17:M19"/>
    <mergeCell ref="D28:M28"/>
    <mergeCell ref="D30:M30"/>
    <mergeCell ref="D31:E31"/>
    <mergeCell ref="F31:M31"/>
    <mergeCell ref="D32:E32"/>
    <mergeCell ref="F32:M32"/>
    <mergeCell ref="D33:E33"/>
    <mergeCell ref="F34:M34"/>
    <mergeCell ref="D36:E36"/>
    <mergeCell ref="F36:M36"/>
    <mergeCell ref="D37:E37"/>
    <mergeCell ref="F37:M37"/>
    <mergeCell ref="D38:M38"/>
    <mergeCell ref="D39:M39"/>
    <mergeCell ref="D40:M40"/>
  </mergeCells>
  <conditionalFormatting sqref="F6">
    <cfRule type="cellIs" dxfId="109" priority="5" operator="equal">
      <formula>"DELIVER"</formula>
    </cfRule>
  </conditionalFormatting>
  <conditionalFormatting sqref="D30">
    <cfRule type="cellIs" dxfId="108" priority="4" operator="equal">
      <formula>"DELIVER"</formula>
    </cfRule>
  </conditionalFormatting>
  <conditionalFormatting sqref="D2:M2">
    <cfRule type="expression" dxfId="107" priority="3">
      <formula>$F$6="DELIVER"</formula>
    </cfRule>
  </conditionalFormatting>
  <conditionalFormatting sqref="G6">
    <cfRule type="expression" dxfId="106" priority="2">
      <formula>$F$6="DELIVER"</formula>
    </cfRule>
  </conditionalFormatting>
  <conditionalFormatting sqref="D39">
    <cfRule type="expression" dxfId="10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8" max="16383" man="1"/>
  </rowBreaks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1750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HIGHLAND OAKS CHURCH OF CHRIST  (002098P)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"002098P"</f>
        <v>002098P</v>
      </c>
      <c r="E4" s="101" t="s">
        <v>37</v>
      </c>
      <c r="F4" s="105" t="str">
        <f>C4</f>
        <v>002098P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1240</v>
      </c>
      <c r="E5" s="101" t="s">
        <v>36</v>
      </c>
      <c r="F5" s="112" t="s">
        <v>1193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1241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A108356|A108356|A108356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ITPN-207476|ITPN-207478|ITPN-207476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1240</v>
      </c>
      <c r="E12" s="74" t="s">
        <v>1235</v>
      </c>
      <c r="F12" s="74" t="s">
        <v>1236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Pick"",""2"",""ITPN-207478"""</f>
        <v>"Ceres NTFB Live","NTFB Live","5766","1","Invt. Pick","2","ITPN-207478"</v>
      </c>
      <c r="E13" s="74" t="s">
        <v>1235</v>
      </c>
      <c r="F13" s="74" t="s">
        <v>1237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1235</v>
      </c>
      <c r="E14" s="74" t="str">
        <f>E12</f>
        <v>A108356</v>
      </c>
      <c r="F14" s="74" t="str">
        <f>F12</f>
        <v>ITPN-207476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1238</v>
      </c>
      <c r="F15" s="92" t="s">
        <v>1239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59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HIGHLAND OAKS CHURCH OF CHRIST  (002098P) - NO F4K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002098P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HIGHLAND OAKS CHURCH OF CHRIST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1235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104" priority="5" operator="equal">
      <formula>"DELIVER"</formula>
    </cfRule>
  </conditionalFormatting>
  <conditionalFormatting sqref="D29">
    <cfRule type="cellIs" dxfId="103" priority="4" operator="equal">
      <formula>"DELIVER"</formula>
    </cfRule>
  </conditionalFormatting>
  <conditionalFormatting sqref="D2:M2">
    <cfRule type="expression" dxfId="102" priority="3">
      <formula>$F$6="DELIVER"</formula>
    </cfRule>
  </conditionalFormatting>
  <conditionalFormatting sqref="G6">
    <cfRule type="expression" dxfId="101" priority="2">
      <formula>$F$6="DELIVER"</formula>
    </cfRule>
  </conditionalFormatting>
  <conditionalFormatting sqref="D38">
    <cfRule type="expression" dxfId="10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1562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/>
      </c>
      <c r="C2" s="74" t="s">
        <v>7</v>
      </c>
      <c r="D2" s="181" t="str">
        <f>IF(E28="",F5&amp;"  ("&amp;F4&amp;") - NO "&amp;C27,F5&amp;"  ("&amp;F4&amp;") - "&amp;C27&amp;" PICK LIST")</f>
        <v>METROCREST SERVICES  (002127P)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"002127P"</f>
        <v>002127P</v>
      </c>
      <c r="E4" s="101" t="s">
        <v>37</v>
      </c>
      <c r="F4" s="105" t="str">
        <f>C4</f>
        <v>002127P</v>
      </c>
      <c r="K4" s="101" t="s">
        <v>42</v>
      </c>
      <c r="L4" s="104"/>
      <c r="M4" s="111">
        <f>SUM(I28:I37)</f>
        <v>280</v>
      </c>
    </row>
    <row r="5" spans="1:26" ht="18" customHeight="1" x14ac:dyDescent="0.25">
      <c r="B5" s="76" t="str">
        <f t="shared" si="0"/>
        <v>Show</v>
      </c>
      <c r="C5" s="109" t="s">
        <v>1245</v>
      </c>
      <c r="E5" s="101" t="s">
        <v>36</v>
      </c>
      <c r="F5" s="112" t="s">
        <v>1180</v>
      </c>
      <c r="K5" s="101" t="s">
        <v>43</v>
      </c>
      <c r="L5" s="104"/>
      <c r="M5" s="111">
        <f>ROUND(SUM(O28:O37),0)</f>
        <v>5737</v>
      </c>
    </row>
    <row r="6" spans="1:26" ht="18" customHeight="1" x14ac:dyDescent="0.25">
      <c r="B6" s="76" t="str">
        <f t="shared" si="0"/>
        <v>Show</v>
      </c>
      <c r="C6" s="109" t="s">
        <v>1246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ROUND(COUNT(O28:O37),0)</f>
        <v>9</v>
      </c>
      <c r="P6" s="101"/>
      <c r="W6" s="101" t="str">
        <f>"ESTIMATED "&amp;O27&amp;"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E18</f>
        <v>A107851|A107851|A108061|A108407|A108407|A107851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F18</f>
        <v>ITPN-207428|ITPN-207429|ITPN-207443|ITPN-207500|ITPN-207501|ITPN-207428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B17</f>
        <v>Show</v>
      </c>
      <c r="C12" s="74" t="s">
        <v>1249</v>
      </c>
      <c r="E12" s="74" t="str">
        <f>"A107851"</f>
        <v>A107851</v>
      </c>
      <c r="F12" s="74" t="str">
        <f>"ITPN-207428"</f>
        <v>ITPN-207428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 t="shared" ref="B13:B16" si="1">B18</f>
        <v>Show</v>
      </c>
      <c r="C13" s="74" t="str">
        <f>"""Ceres NTFB Live"",""NTFB Live"",""5766"",""1"",""Invt. Pick"",""2"",""ITPN-207429"""</f>
        <v>"Ceres NTFB Live","NTFB Live","5766","1","Invt. Pick","2","ITPN-207429"</v>
      </c>
      <c r="E13" s="74" t="str">
        <f>"A107851"</f>
        <v>A107851</v>
      </c>
      <c r="F13" s="74" t="str">
        <f>"ITPN-207429"</f>
        <v>ITPN-207429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173</v>
      </c>
      <c r="B14" s="76" t="str">
        <f t="shared" si="1"/>
        <v>Show</v>
      </c>
      <c r="C14" s="74" t="str">
        <f>"""Ceres NTFB Live"",""NTFB Live"",""5766"",""1"",""Invt. Pick"",""2"",""ITPN-207443"""</f>
        <v>"Ceres NTFB Live","NTFB Live","5766","1","Invt. Pick","2","ITPN-207443"</v>
      </c>
      <c r="E14" s="74" t="str">
        <f>"A108061"</f>
        <v>A108061</v>
      </c>
      <c r="F14" s="74" t="str">
        <f>"ITPN-207443"</f>
        <v>ITPN-207443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173</v>
      </c>
      <c r="B15" s="76" t="str">
        <f t="shared" si="1"/>
        <v>Show</v>
      </c>
      <c r="C15" s="74" t="str">
        <f>"""Ceres NTFB Live"",""NTFB Live"",""5766"",""1"",""Invt. Pick"",""2"",""ITPN-207500"""</f>
        <v>"Ceres NTFB Live","NTFB Live","5766","1","Invt. Pick","2","ITPN-207500"</v>
      </c>
      <c r="E15" s="74" t="str">
        <f>"A108407"</f>
        <v>A108407</v>
      </c>
      <c r="F15" s="74" t="str">
        <f>"ITPN-207500"</f>
        <v>ITPN-207500</v>
      </c>
      <c r="I15" s="98"/>
      <c r="J15" s="98"/>
      <c r="K15" s="98"/>
      <c r="L15" s="98"/>
      <c r="M15" s="98"/>
    </row>
    <row r="16" spans="1:26" ht="15.75" hidden="1" thickBot="1" x14ac:dyDescent="0.3">
      <c r="A16" s="74" t="s">
        <v>173</v>
      </c>
      <c r="B16" s="76" t="str">
        <f t="shared" si="1"/>
        <v>Show</v>
      </c>
      <c r="C16" s="74" t="str">
        <f>"""Ceres NTFB Live"",""NTFB Live"",""5766"",""1"",""Invt. Pick"",""2"",""ITPN-207501"""</f>
        <v>"Ceres NTFB Live","NTFB Live","5766","1","Invt. Pick","2","ITPN-207501"</v>
      </c>
      <c r="E16" s="74" t="str">
        <f>"A108407"</f>
        <v>A108407</v>
      </c>
      <c r="F16" s="74" t="str">
        <f>"ITPN-207501"</f>
        <v>ITPN-207501</v>
      </c>
      <c r="I16" s="98"/>
      <c r="J16" s="98"/>
      <c r="K16" s="98"/>
      <c r="L16" s="98"/>
      <c r="M16" s="98"/>
    </row>
    <row r="17" spans="1:17" ht="15.75" hidden="1" thickBot="1" x14ac:dyDescent="0.3">
      <c r="A17" s="74" t="s">
        <v>6</v>
      </c>
      <c r="B17" s="76" t="str">
        <f t="shared" ref="B17:B27" si="2">B18</f>
        <v>Show</v>
      </c>
      <c r="C17" s="74" t="s">
        <v>1250</v>
      </c>
      <c r="E17" s="74" t="str">
        <f>E12</f>
        <v>A107851</v>
      </c>
      <c r="F17" s="74" t="str">
        <f>F12</f>
        <v>ITPN-207428</v>
      </c>
      <c r="I17" s="98"/>
      <c r="J17" s="98"/>
      <c r="K17" s="98"/>
      <c r="L17" s="98"/>
      <c r="M17" s="98"/>
    </row>
    <row r="18" spans="1:17" ht="15.75" hidden="1" thickBot="1" x14ac:dyDescent="0.3">
      <c r="A18" s="74" t="s">
        <v>6</v>
      </c>
      <c r="B18" s="76" t="str">
        <f t="shared" si="2"/>
        <v>Show</v>
      </c>
      <c r="E18" s="92" t="s">
        <v>1248</v>
      </c>
      <c r="F18" s="92" t="s">
        <v>1247</v>
      </c>
      <c r="I18" s="98"/>
      <c r="J18" s="98"/>
      <c r="K18" s="98"/>
      <c r="L18" s="98"/>
      <c r="M18" s="98"/>
    </row>
    <row r="19" spans="1:17" x14ac:dyDescent="0.25">
      <c r="B19" s="76" t="str">
        <f t="shared" si="2"/>
        <v>Show</v>
      </c>
      <c r="E19" s="101" t="s">
        <v>20</v>
      </c>
      <c r="F19" s="184" t="s">
        <v>179</v>
      </c>
      <c r="G19" s="185"/>
      <c r="H19" s="185"/>
      <c r="I19" s="185"/>
      <c r="J19" s="185"/>
      <c r="K19" s="185"/>
      <c r="L19" s="185"/>
      <c r="M19" s="186"/>
    </row>
    <row r="20" spans="1:17" x14ac:dyDescent="0.25">
      <c r="B20" s="76" t="str">
        <f t="shared" si="2"/>
        <v>Show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thickBot="1" x14ac:dyDescent="0.3">
      <c r="B21" s="76" t="str">
        <f t="shared" si="2"/>
        <v>Show</v>
      </c>
      <c r="F21" s="190"/>
      <c r="G21" s="191"/>
      <c r="H21" s="191"/>
      <c r="I21" s="191"/>
      <c r="J21" s="191"/>
      <c r="K21" s="191"/>
      <c r="L21" s="191"/>
      <c r="M21" s="192"/>
    </row>
    <row r="22" spans="1:17" x14ac:dyDescent="0.25">
      <c r="B22" s="76" t="str">
        <f t="shared" si="2"/>
        <v>Show</v>
      </c>
    </row>
    <row r="23" spans="1:17" x14ac:dyDescent="0.25">
      <c r="B23" s="76" t="str">
        <f t="shared" si="2"/>
        <v>Show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x14ac:dyDescent="0.25">
      <c r="B24" s="76" t="str">
        <f t="shared" si="2"/>
        <v>Show</v>
      </c>
      <c r="E24" s="101"/>
    </row>
    <row r="25" spans="1:17" x14ac:dyDescent="0.25">
      <c r="B25" s="76" t="str">
        <f t="shared" si="2"/>
        <v>Show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x14ac:dyDescent="0.25">
      <c r="B26" s="76" t="str">
        <f t="shared" si="2"/>
        <v>Show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customHeight="1" x14ac:dyDescent="0.25">
      <c r="A27" s="97"/>
      <c r="B27" s="76" t="str">
        <f t="shared" si="2"/>
        <v>Show</v>
      </c>
      <c r="C27" s="96" t="s">
        <v>79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customHeight="1" x14ac:dyDescent="0.25">
      <c r="B28" s="92" t="str">
        <f>IF(I28="","Hide","Show")</f>
        <v>Show</v>
      </c>
      <c r="C28" s="74" t="s">
        <v>1256</v>
      </c>
      <c r="D28" s="89" t="str">
        <f>"02-01-01"</f>
        <v>02-01-01</v>
      </c>
      <c r="E28" s="89" t="str">
        <f>"P00172395"</f>
        <v>P00172395</v>
      </c>
      <c r="F28" s="89" t="str">
        <f>"1000000301"</f>
        <v>1000000301</v>
      </c>
      <c r="G28" s="91" t="s">
        <v>1251</v>
      </c>
      <c r="H28" s="90" t="str">
        <f>"SOUPS, ASSORTED CANNED"</f>
        <v>SOUPS, ASSORTED CANNED</v>
      </c>
      <c r="I28" s="89">
        <v>45</v>
      </c>
      <c r="J28" s="89" t="str">
        <f t="shared" ref="J28:J36" si="3">"CS"</f>
        <v>CS</v>
      </c>
      <c r="K28" s="88"/>
      <c r="L28" s="87"/>
      <c r="M28" s="87"/>
      <c r="N28" s="85" t="s">
        <v>179</v>
      </c>
      <c r="O28" s="85">
        <v>900</v>
      </c>
      <c r="P28" s="85" t="str">
        <f>"DRY"</f>
        <v>DRY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ref="B29:B36" si="4">IF(I29="","Hide","Show")</f>
        <v>Show</v>
      </c>
      <c r="C29" s="74" t="str">
        <f>"""Ceres NTFB Live"",""NTFB Live"",""5767"",""1"",""Invt. Pick"",""2"",""ITPN-207443"",""3"",""80000"""</f>
        <v>"Ceres NTFB Live","NTFB Live","5767","1","Invt. Pick","2","ITPN-207443","3","80000"</v>
      </c>
      <c r="D29" s="89" t="str">
        <f>"02-33-01"</f>
        <v>02-33-01</v>
      </c>
      <c r="E29" s="89" t="str">
        <f>"P00180210"</f>
        <v>P00180210</v>
      </c>
      <c r="F29" s="89" t="str">
        <f>"1000003363"</f>
        <v>1000003363</v>
      </c>
      <c r="G29" s="91" t="s">
        <v>1251</v>
      </c>
      <c r="H29" s="90" t="str">
        <f>"BROTH, SWANSON CHICKEN"</f>
        <v>BROTH, SWANSON CHICKEN</v>
      </c>
      <c r="I29" s="89">
        <v>15</v>
      </c>
      <c r="J29" s="89" t="str">
        <f t="shared" si="3"/>
        <v>CS</v>
      </c>
      <c r="K29" s="88"/>
      <c r="L29" s="87"/>
      <c r="M29" s="87"/>
      <c r="N29" s="85" t="s">
        <v>179</v>
      </c>
      <c r="O29" s="85">
        <v>195</v>
      </c>
      <c r="P29" s="85" t="str">
        <f>"DRY"</f>
        <v>DRY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4"/>
        <v>Show</v>
      </c>
      <c r="C30" s="74" t="str">
        <f>"""Ceres NTFB Live"",""NTFB Live"",""5767"",""1"",""Invt. Pick"",""2"",""ITPN-207443"",""3"",""40000"""</f>
        <v>"Ceres NTFB Live","NTFB Live","5767","1","Invt. Pick","2","ITPN-207443","3","40000"</v>
      </c>
      <c r="D30" s="89" t="str">
        <f>"04-11-01"</f>
        <v>04-11-01</v>
      </c>
      <c r="E30" s="89" t="str">
        <f>"P00172403"</f>
        <v>P00172403</v>
      </c>
      <c r="F30" s="89" t="str">
        <f>"1000000301"</f>
        <v>1000000301</v>
      </c>
      <c r="G30" s="91" t="s">
        <v>1251</v>
      </c>
      <c r="H30" s="90" t="str">
        <f>"SOUPS, ASSORTED CANNED"</f>
        <v>SOUPS, ASSORTED CANNED</v>
      </c>
      <c r="I30" s="89">
        <v>15</v>
      </c>
      <c r="J30" s="89" t="str">
        <f t="shared" si="3"/>
        <v>CS</v>
      </c>
      <c r="K30" s="88"/>
      <c r="L30" s="87"/>
      <c r="M30" s="87"/>
      <c r="N30" s="85" t="s">
        <v>179</v>
      </c>
      <c r="O30" s="85">
        <v>300</v>
      </c>
      <c r="P30" s="85" t="str">
        <f>"DRY"</f>
        <v>DRY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si="4"/>
        <v>Show</v>
      </c>
      <c r="C31" s="74" t="str">
        <f>"""Ceres NTFB Live"",""NTFB Live"",""5767"",""1"",""Invt. Pick"",""2"",""ITPN-207429"",""3"",""51000"""</f>
        <v>"Ceres NTFB Live","NTFB Live","5767","1","Invt. Pick","2","ITPN-207429","3","51000"</v>
      </c>
      <c r="D31" s="89" t="str">
        <f>"05-04-01"</f>
        <v>05-04-01</v>
      </c>
      <c r="E31" s="89" t="str">
        <f>"P00163839"</f>
        <v>P00163839</v>
      </c>
      <c r="F31" s="89" t="str">
        <f>"1000000586"</f>
        <v>1000000586</v>
      </c>
      <c r="G31" s="91" t="s">
        <v>1252</v>
      </c>
      <c r="H31" s="90" t="str">
        <f>"DRY  BEANS, ASSORTED"</f>
        <v>DRY  BEANS, ASSORTED</v>
      </c>
      <c r="I31" s="89">
        <v>9</v>
      </c>
      <c r="J31" s="89" t="str">
        <f t="shared" si="3"/>
        <v>CS</v>
      </c>
      <c r="K31" s="88"/>
      <c r="L31" s="87"/>
      <c r="M31" s="87"/>
      <c r="N31" s="85" t="s">
        <v>179</v>
      </c>
      <c r="O31" s="85">
        <v>198</v>
      </c>
      <c r="P31" s="85" t="str">
        <f>"DRY"</f>
        <v>DRY</v>
      </c>
      <c r="Q31" s="86" t="s">
        <v>56</v>
      </c>
    </row>
    <row r="32" spans="1:17" ht="24.95" customHeight="1" x14ac:dyDescent="0.25">
      <c r="A32" s="74" t="s">
        <v>174</v>
      </c>
      <c r="B32" s="92" t="str">
        <f t="shared" si="4"/>
        <v>Show</v>
      </c>
      <c r="C32" s="74" t="str">
        <f>"""Ceres NTFB Live"",""NTFB Live"",""5767"",""1"",""Invt. Pick"",""2"",""ITPN-207443"",""3"",""60000"""</f>
        <v>"Ceres NTFB Live","NTFB Live","5767","1","Invt. Pick","2","ITPN-207443","3","60000"</v>
      </c>
      <c r="D32" s="89" t="str">
        <f>"06-26-01"</f>
        <v>06-26-01</v>
      </c>
      <c r="E32" s="89" t="str">
        <f>"P00194701"</f>
        <v>P00194701</v>
      </c>
      <c r="F32" s="89" t="str">
        <f>"1000000429"</f>
        <v>1000000429</v>
      </c>
      <c r="G32" s="91" t="s">
        <v>1251</v>
      </c>
      <c r="H32" s="90" t="str">
        <f>"USDA CEREAL, CORNFLAKES (449)"</f>
        <v>USDA CEREAL, CORNFLAKES (449)</v>
      </c>
      <c r="I32" s="89">
        <v>16</v>
      </c>
      <c r="J32" s="89" t="str">
        <f t="shared" si="3"/>
        <v>CS</v>
      </c>
      <c r="K32" s="88"/>
      <c r="L32" s="87"/>
      <c r="M32" s="87"/>
      <c r="N32" s="85" t="s">
        <v>179</v>
      </c>
      <c r="O32" s="85">
        <v>240</v>
      </c>
      <c r="P32" s="85" t="str">
        <f>"DRY"</f>
        <v>DRY</v>
      </c>
      <c r="Q32" s="86" t="s">
        <v>56</v>
      </c>
    </row>
    <row r="33" spans="1:17" ht="24.95" customHeight="1" x14ac:dyDescent="0.25">
      <c r="A33" s="74" t="s">
        <v>174</v>
      </c>
      <c r="B33" s="92" t="str">
        <f t="shared" si="4"/>
        <v>Show</v>
      </c>
      <c r="C33" s="74" t="str">
        <f>"""Ceres NTFB Live"",""NTFB Live"",""5767"",""1"",""Invt. Pick"",""2"",""ITPN-207500"",""3"",""30000"""</f>
        <v>"Ceres NTFB Live","NTFB Live","5767","1","Invt. Pick","2","ITPN-207500","3","30000"</v>
      </c>
      <c r="D33" s="89" t="str">
        <f>"33-01-01"</f>
        <v>33-01-01</v>
      </c>
      <c r="E33" s="89" t="str">
        <f>"P00195102"</f>
        <v>P00195102</v>
      </c>
      <c r="F33" s="89" t="str">
        <f>"1000002518"</f>
        <v>1000002518</v>
      </c>
      <c r="G33" s="91" t="s">
        <v>1253</v>
      </c>
      <c r="H33" s="90" t="str">
        <f>"USDA CORN, KERNAL, CANNED"</f>
        <v>USDA CORN, KERNAL, CANNED</v>
      </c>
      <c r="I33" s="89">
        <v>29</v>
      </c>
      <c r="J33" s="89" t="str">
        <f t="shared" si="3"/>
        <v>CS</v>
      </c>
      <c r="K33" s="88"/>
      <c r="L33" s="87"/>
      <c r="M33" s="87"/>
      <c r="N33" s="85" t="s">
        <v>179</v>
      </c>
      <c r="O33" s="85">
        <v>812</v>
      </c>
      <c r="P33" s="85" t="str">
        <f>"DRYUSDA"</f>
        <v>DRYUSDA</v>
      </c>
      <c r="Q33" s="86" t="s">
        <v>56</v>
      </c>
    </row>
    <row r="34" spans="1:17" ht="24.95" customHeight="1" x14ac:dyDescent="0.25">
      <c r="A34" s="74" t="s">
        <v>174</v>
      </c>
      <c r="B34" s="92" t="str">
        <f t="shared" si="4"/>
        <v>Show</v>
      </c>
      <c r="C34" s="74" t="str">
        <f>"""Ceres NTFB Live"",""NTFB Live"",""5767"",""1"",""Invt. Pick"",""2"",""ITPN-207428"",""3"",""40000"""</f>
        <v>"Ceres NTFB Live","NTFB Live","5767","1","Invt. Pick","2","ITPN-207428","3","40000"</v>
      </c>
      <c r="D34" s="89" t="str">
        <f>"33-08-01"</f>
        <v>33-08-01</v>
      </c>
      <c r="E34" s="89" t="str">
        <f>"P00187790"</f>
        <v>P00187790</v>
      </c>
      <c r="F34" s="89" t="str">
        <f>"1000000640"</f>
        <v>1000000640</v>
      </c>
      <c r="G34" s="91" t="s">
        <v>1254</v>
      </c>
      <c r="H34" s="90" t="str">
        <f>"USDA BLACK EYE BEANS -100374"</f>
        <v>USDA BLACK EYE BEANS -100374</v>
      </c>
      <c r="I34" s="89">
        <v>20</v>
      </c>
      <c r="J34" s="89" t="str">
        <f t="shared" si="3"/>
        <v>CS</v>
      </c>
      <c r="K34" s="88"/>
      <c r="L34" s="87"/>
      <c r="M34" s="87"/>
      <c r="N34" s="85" t="s">
        <v>179</v>
      </c>
      <c r="O34" s="85">
        <v>480</v>
      </c>
      <c r="P34" s="85" t="str">
        <f>"DRYUSDA"</f>
        <v>DRYUSDA</v>
      </c>
      <c r="Q34" s="86" t="s">
        <v>56</v>
      </c>
    </row>
    <row r="35" spans="1:17" ht="24.95" customHeight="1" x14ac:dyDescent="0.25">
      <c r="A35" s="74" t="s">
        <v>174</v>
      </c>
      <c r="B35" s="92" t="str">
        <f t="shared" si="4"/>
        <v>Show</v>
      </c>
      <c r="C35" s="74" t="str">
        <f>"""Ceres NTFB Live"",""NTFB Live"",""5767"",""1"",""Invt. Pick"",""2"",""ITPN-207501"",""3"",""41000"""</f>
        <v>"Ceres NTFB Live","NTFB Live","5767","1","Invt. Pick","2","ITPN-207501","3","41000"</v>
      </c>
      <c r="D35" s="89" t="str">
        <f>"33-11-01"</f>
        <v>33-11-01</v>
      </c>
      <c r="E35" s="89" t="str">
        <f>"P00195092"</f>
        <v>P00195092</v>
      </c>
      <c r="F35" s="89" t="str">
        <f>"1000002518"</f>
        <v>1000002518</v>
      </c>
      <c r="G35" s="91" t="s">
        <v>1255</v>
      </c>
      <c r="H35" s="90" t="str">
        <f>"USDA CORN, KERNAL, CANNED"</f>
        <v>USDA CORN, KERNAL, CANNED</v>
      </c>
      <c r="I35" s="89">
        <v>56</v>
      </c>
      <c r="J35" s="89" t="str">
        <f t="shared" si="3"/>
        <v>CS</v>
      </c>
      <c r="K35" s="88"/>
      <c r="L35" s="87"/>
      <c r="M35" s="87"/>
      <c r="N35" s="85" t="s">
        <v>179</v>
      </c>
      <c r="O35" s="85">
        <v>812</v>
      </c>
      <c r="P35" s="85" t="str">
        <f>"DRYUSDA"</f>
        <v>DRYUSDA</v>
      </c>
      <c r="Q35" s="86" t="s">
        <v>56</v>
      </c>
    </row>
    <row r="36" spans="1:17" ht="24.95" customHeight="1" x14ac:dyDescent="0.25">
      <c r="A36" s="74" t="s">
        <v>174</v>
      </c>
      <c r="B36" s="92" t="str">
        <f t="shared" si="4"/>
        <v>Show</v>
      </c>
      <c r="C36" s="74" t="str">
        <f>"""Ceres NTFB Live"",""NTFB Live"",""5767"",""1"",""Invt. Pick"",""2"",""ITPN-207428"",""3"",""20000"""</f>
        <v>"Ceres NTFB Live","NTFB Live","5767","1","Invt. Pick","2","ITPN-207428","3","20000"</v>
      </c>
      <c r="D36" s="89" t="str">
        <f>"34-02-01"</f>
        <v>34-02-01</v>
      </c>
      <c r="E36" s="89" t="str">
        <f>"P00192104"</f>
        <v>P00192104</v>
      </c>
      <c r="F36" s="89" t="str">
        <f>"1000000271"</f>
        <v>1000000271</v>
      </c>
      <c r="G36" s="91" t="s">
        <v>1254</v>
      </c>
      <c r="H36" s="90" t="str">
        <f>"USDA PINTO BEANS"</f>
        <v>USDA PINTO BEANS</v>
      </c>
      <c r="I36" s="89">
        <v>75</v>
      </c>
      <c r="J36" s="89" t="str">
        <f t="shared" si="3"/>
        <v>CS</v>
      </c>
      <c r="K36" s="88"/>
      <c r="L36" s="87"/>
      <c r="M36" s="87"/>
      <c r="N36" s="85" t="s">
        <v>179</v>
      </c>
      <c r="O36" s="85">
        <v>1800</v>
      </c>
      <c r="P36" s="85" t="str">
        <f>"DRYUSDA"</f>
        <v>DRYUSDA</v>
      </c>
      <c r="Q36" s="86" t="s">
        <v>56</v>
      </c>
    </row>
    <row r="37" spans="1:17" ht="15.75" thickBot="1" x14ac:dyDescent="0.3">
      <c r="B37" s="74" t="str">
        <f>B28</f>
        <v>Show</v>
      </c>
      <c r="H37" s="85"/>
      <c r="I37" s="85"/>
    </row>
    <row r="38" spans="1:17" ht="15.75" thickBot="1" x14ac:dyDescent="0.3">
      <c r="B38" s="74" t="str">
        <f>+B37</f>
        <v>Show</v>
      </c>
      <c r="D38" s="193" t="str">
        <f>+"END OF "&amp;D2</f>
        <v>END OF METROCREST SERVICES  (002127P) - DRY|DRYUSDA|MCTF PICK LIST</v>
      </c>
      <c r="E38" s="194"/>
      <c r="F38" s="194"/>
      <c r="G38" s="194"/>
      <c r="H38" s="194"/>
      <c r="I38" s="194"/>
      <c r="J38" s="194"/>
      <c r="K38" s="194"/>
      <c r="L38" s="194"/>
      <c r="M38" s="195"/>
    </row>
    <row r="39" spans="1:17" ht="15.75" thickBot="1" x14ac:dyDescent="0.3"/>
    <row r="40" spans="1:17" ht="80.099999999999994" customHeight="1" thickBot="1" x14ac:dyDescent="0.3">
      <c r="A40" s="76" t="s">
        <v>30</v>
      </c>
      <c r="D40" s="166" t="str">
        <f>+F6</f>
        <v>DELIVER</v>
      </c>
      <c r="E40" s="167"/>
      <c r="F40" s="167"/>
      <c r="G40" s="167"/>
      <c r="H40" s="167"/>
      <c r="I40" s="167"/>
      <c r="J40" s="167"/>
      <c r="K40" s="167"/>
      <c r="L40" s="167"/>
      <c r="M40" s="168"/>
    </row>
    <row r="41" spans="1:17" ht="36.75" x14ac:dyDescent="0.45">
      <c r="A41" s="76" t="s">
        <v>30</v>
      </c>
      <c r="D41" s="176" t="s">
        <v>12</v>
      </c>
      <c r="E41" s="177"/>
      <c r="F41" s="196" t="str">
        <f>+F4</f>
        <v>002127P</v>
      </c>
      <c r="G41" s="196"/>
      <c r="H41" s="196"/>
      <c r="I41" s="196"/>
      <c r="J41" s="196"/>
      <c r="K41" s="196"/>
      <c r="L41" s="196"/>
      <c r="M41" s="197"/>
    </row>
    <row r="42" spans="1:17" ht="37.5" customHeight="1" thickBot="1" x14ac:dyDescent="0.5">
      <c r="A42" s="76" t="s">
        <v>30</v>
      </c>
      <c r="D42" s="158" t="s">
        <v>5</v>
      </c>
      <c r="E42" s="159"/>
      <c r="F42" s="161" t="str">
        <f>+F5</f>
        <v>METROCREST SERVICES</v>
      </c>
      <c r="G42" s="161"/>
      <c r="H42" s="161"/>
      <c r="I42" s="161"/>
      <c r="J42" s="161"/>
      <c r="K42" s="161"/>
      <c r="L42" s="161"/>
      <c r="M42" s="162"/>
      <c r="N42" s="84"/>
      <c r="O42" s="84"/>
      <c r="P42" s="84"/>
    </row>
    <row r="43" spans="1:17" ht="33.75" hidden="1" thickBot="1" x14ac:dyDescent="0.45">
      <c r="A43" s="76" t="s">
        <v>19</v>
      </c>
      <c r="D43" s="172" t="s">
        <v>49</v>
      </c>
      <c r="E43" s="173"/>
      <c r="F43" s="82"/>
      <c r="G43" s="83"/>
      <c r="H43" s="82"/>
      <c r="I43" s="82"/>
      <c r="J43" s="82"/>
      <c r="K43" s="82"/>
      <c r="L43" s="82"/>
      <c r="M43" s="81"/>
    </row>
    <row r="44" spans="1:17" ht="30" hidden="1" customHeight="1" x14ac:dyDescent="0.25">
      <c r="A44" s="76" t="s">
        <v>19</v>
      </c>
      <c r="D44" s="80"/>
      <c r="E44" s="78"/>
      <c r="F44" s="174" t="s">
        <v>1250</v>
      </c>
      <c r="G44" s="174"/>
      <c r="H44" s="174"/>
      <c r="I44" s="174"/>
      <c r="J44" s="174"/>
      <c r="K44" s="174"/>
      <c r="L44" s="174"/>
      <c r="M44" s="175"/>
    </row>
    <row r="45" spans="1:17" ht="30" hidden="1" customHeight="1" x14ac:dyDescent="0.25">
      <c r="A45" s="76" t="s">
        <v>184</v>
      </c>
      <c r="D45" s="80"/>
      <c r="E45" s="78"/>
      <c r="F45" s="174" t="str">
        <f>"A108061"</f>
        <v>A108061</v>
      </c>
      <c r="G45" s="174"/>
      <c r="H45" s="174"/>
      <c r="I45" s="174"/>
      <c r="J45" s="174"/>
      <c r="K45" s="174"/>
      <c r="L45" s="174"/>
      <c r="M45" s="175"/>
    </row>
    <row r="46" spans="1:17" ht="30" hidden="1" customHeight="1" x14ac:dyDescent="0.25">
      <c r="A46" s="76" t="s">
        <v>184</v>
      </c>
      <c r="D46" s="80"/>
      <c r="E46" s="78"/>
      <c r="F46" s="174" t="str">
        <f>"A108407"</f>
        <v>A108407</v>
      </c>
      <c r="G46" s="174"/>
      <c r="H46" s="174"/>
      <c r="I46" s="174"/>
      <c r="J46" s="174"/>
      <c r="K46" s="174"/>
      <c r="L46" s="174"/>
      <c r="M46" s="175"/>
    </row>
    <row r="47" spans="1:17" ht="15.75" hidden="1" customHeight="1" thickBot="1" x14ac:dyDescent="0.3">
      <c r="A47" s="76" t="s">
        <v>19</v>
      </c>
      <c r="D47" s="80"/>
      <c r="E47" s="78"/>
      <c r="F47" s="78"/>
      <c r="G47" s="79"/>
      <c r="H47" s="78"/>
      <c r="I47" s="78"/>
      <c r="J47" s="78"/>
      <c r="K47" s="78"/>
      <c r="L47" s="78"/>
      <c r="M47" s="77"/>
    </row>
    <row r="48" spans="1:17" ht="36.75" x14ac:dyDescent="0.45">
      <c r="A48" s="76" t="s">
        <v>30</v>
      </c>
      <c r="D48" s="176" t="s">
        <v>50</v>
      </c>
      <c r="E48" s="177"/>
      <c r="F48" s="178">
        <f>+F7</f>
        <v>42612</v>
      </c>
      <c r="G48" s="179"/>
      <c r="H48" s="179"/>
      <c r="I48" s="179"/>
      <c r="J48" s="179"/>
      <c r="K48" s="179"/>
      <c r="L48" s="179"/>
      <c r="M48" s="180"/>
    </row>
    <row r="49" spans="1:13" ht="37.5" thickBot="1" x14ac:dyDescent="0.5">
      <c r="A49" s="76" t="s">
        <v>30</v>
      </c>
      <c r="D49" s="158" t="s">
        <v>32</v>
      </c>
      <c r="E49" s="159"/>
      <c r="F49" s="160"/>
      <c r="G49" s="161"/>
      <c r="H49" s="161"/>
      <c r="I49" s="161"/>
      <c r="J49" s="161"/>
      <c r="K49" s="161"/>
      <c r="L49" s="161"/>
      <c r="M49" s="162"/>
    </row>
    <row r="50" spans="1:13" ht="80.099999999999994" customHeight="1" thickBot="1" x14ac:dyDescent="0.3">
      <c r="A50" s="76" t="s">
        <v>30</v>
      </c>
      <c r="D50" s="163" t="s">
        <v>51</v>
      </c>
      <c r="E50" s="164"/>
      <c r="F50" s="164"/>
      <c r="G50" s="164"/>
      <c r="H50" s="164"/>
      <c r="I50" s="164"/>
      <c r="J50" s="164"/>
      <c r="K50" s="164"/>
      <c r="L50" s="164"/>
      <c r="M50" s="165"/>
    </row>
    <row r="51" spans="1:13" ht="90" customHeight="1" thickBot="1" x14ac:dyDescent="0.3">
      <c r="A51" s="76" t="s">
        <v>30</v>
      </c>
      <c r="D51" s="166" t="str">
        <f>IF(F6="DELIVER",G6,F6)</f>
        <v>COLLIN 3</v>
      </c>
      <c r="E51" s="167"/>
      <c r="F51" s="167"/>
      <c r="G51" s="167"/>
      <c r="H51" s="167"/>
      <c r="I51" s="167"/>
      <c r="J51" s="167"/>
      <c r="K51" s="167"/>
      <c r="L51" s="167"/>
      <c r="M51" s="168"/>
    </row>
    <row r="52" spans="1:13" ht="60" customHeight="1" thickBot="1" x14ac:dyDescent="0.3">
      <c r="A52" s="76" t="s">
        <v>30</v>
      </c>
      <c r="D52" s="169" t="s">
        <v>55</v>
      </c>
      <c r="E52" s="170"/>
      <c r="F52" s="170"/>
      <c r="G52" s="170"/>
      <c r="H52" s="170"/>
      <c r="I52" s="170"/>
      <c r="J52" s="170"/>
      <c r="K52" s="170"/>
      <c r="L52" s="170"/>
      <c r="M52" s="171"/>
    </row>
  </sheetData>
  <mergeCells count="19">
    <mergeCell ref="D48:E48"/>
    <mergeCell ref="F48:M48"/>
    <mergeCell ref="D2:M2"/>
    <mergeCell ref="F19:M21"/>
    <mergeCell ref="D38:M38"/>
    <mergeCell ref="D40:M40"/>
    <mergeCell ref="D41:E41"/>
    <mergeCell ref="F41:M41"/>
    <mergeCell ref="F45:M45"/>
    <mergeCell ref="F46:M46"/>
    <mergeCell ref="D42:E42"/>
    <mergeCell ref="F42:M42"/>
    <mergeCell ref="D43:E43"/>
    <mergeCell ref="F44:M44"/>
    <mergeCell ref="D49:E49"/>
    <mergeCell ref="F49:M49"/>
    <mergeCell ref="D50:M50"/>
    <mergeCell ref="D51:M51"/>
    <mergeCell ref="D52:M52"/>
  </mergeCells>
  <conditionalFormatting sqref="F6">
    <cfRule type="cellIs" dxfId="459" priority="5" operator="equal">
      <formula>"DELIVER"</formula>
    </cfRule>
  </conditionalFormatting>
  <conditionalFormatting sqref="D40">
    <cfRule type="cellIs" dxfId="458" priority="4" operator="equal">
      <formula>"DELIVER"</formula>
    </cfRule>
  </conditionalFormatting>
  <conditionalFormatting sqref="D2:M2">
    <cfRule type="expression" dxfId="457" priority="3">
      <formula>$F$6="DELIVER"</formula>
    </cfRule>
  </conditionalFormatting>
  <conditionalFormatting sqref="G6">
    <cfRule type="expression" dxfId="456" priority="2">
      <formula>$F$6="DELIVER"</formula>
    </cfRule>
  </conditionalFormatting>
  <conditionalFormatting sqref="D51">
    <cfRule type="expression" dxfId="45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8" max="16383" man="1"/>
  </rowBreaks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1752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>HIDESHEET</v>
      </c>
      <c r="C2" s="74" t="s">
        <v>7</v>
      </c>
      <c r="D2" s="181" t="str">
        <f>IF(E28="",F5&amp;"  ("&amp;F4&amp;") - NO "&amp;C27,F5&amp;"  ("&amp;F4&amp;") - "&amp;C27&amp;" PICK LIST")</f>
        <v>METROCREST SERVICES  (002127P)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"002127P"</f>
        <v>002127P</v>
      </c>
      <c r="E4" s="101" t="s">
        <v>37</v>
      </c>
      <c r="F4" s="105" t="str">
        <f>C4</f>
        <v>002127P</v>
      </c>
      <c r="K4" s="101" t="s">
        <v>42</v>
      </c>
      <c r="L4" s="104"/>
      <c r="M4" s="111">
        <f>SUM(I28:I29)</f>
        <v>0</v>
      </c>
    </row>
    <row r="5" spans="1:26" ht="18" hidden="1" customHeight="1" x14ac:dyDescent="0.25">
      <c r="B5" s="76" t="str">
        <f t="shared" si="0"/>
        <v>Hide</v>
      </c>
      <c r="C5" s="109" t="s">
        <v>1245</v>
      </c>
      <c r="E5" s="101" t="s">
        <v>36</v>
      </c>
      <c r="F5" s="112" t="s">
        <v>1180</v>
      </c>
      <c r="K5" s="101" t="s">
        <v>43</v>
      </c>
      <c r="L5" s="104"/>
      <c r="M5" s="111">
        <f>ROUND(SUM(O28:O29),0)</f>
        <v>0</v>
      </c>
    </row>
    <row r="6" spans="1:26" ht="18" hidden="1" customHeight="1" x14ac:dyDescent="0.25">
      <c r="B6" s="76" t="str">
        <f t="shared" si="0"/>
        <v>Hide</v>
      </c>
      <c r="C6" s="109" t="s">
        <v>1246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ROUND(COUNT(O28:O29),0)</f>
        <v>0</v>
      </c>
      <c r="P6" s="101"/>
      <c r="W6" s="101" t="str">
        <f>"ESTIMATED "&amp;O27&amp;"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E18</f>
        <v>A107851|A107851|A108061|A108407|A108407|A107851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F18</f>
        <v>ITPN-207428|ITPN-207429|ITPN-207443|ITPN-207500|ITPN-207501|ITPN-207428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B17</f>
        <v>Hide</v>
      </c>
      <c r="C12" s="74" t="s">
        <v>1249</v>
      </c>
      <c r="E12" s="74" t="str">
        <f>"A107851"</f>
        <v>A107851</v>
      </c>
      <c r="F12" s="74" t="str">
        <f>"ITPN-207428"</f>
        <v>ITPN-207428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6" si="1">B18</f>
        <v>Hide</v>
      </c>
      <c r="C13" s="74" t="str">
        <f>"""Ceres NTFB Live"",""NTFB Live"",""5766"",""1"",""Invt. Pick"",""2"",""ITPN-207429"""</f>
        <v>"Ceres NTFB Live","NTFB Live","5766","1","Invt. Pick","2","ITPN-207429"</v>
      </c>
      <c r="E13" s="74" t="str">
        <f>"A107851"</f>
        <v>A107851</v>
      </c>
      <c r="F13" s="74" t="str">
        <f>"ITPN-207429"</f>
        <v>ITPN-207429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Pick"",""2"",""ITPN-207443"""</f>
        <v>"Ceres NTFB Live","NTFB Live","5766","1","Invt. Pick","2","ITPN-207443"</v>
      </c>
      <c r="E14" s="74" t="str">
        <f>"A108061"</f>
        <v>A108061</v>
      </c>
      <c r="F14" s="74" t="str">
        <f>"ITPN-207443"</f>
        <v>ITPN-207443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Pick"",""2"",""ITPN-207500"""</f>
        <v>"Ceres NTFB Live","NTFB Live","5766","1","Invt. Pick","2","ITPN-207500"</v>
      </c>
      <c r="E15" s="74" t="str">
        <f>"A108407"</f>
        <v>A108407</v>
      </c>
      <c r="F15" s="74" t="str">
        <f>"ITPN-207500"</f>
        <v>ITPN-207500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Pick"",""2"",""ITPN-207501"""</f>
        <v>"Ceres NTFB Live","NTFB Live","5766","1","Invt. Pick","2","ITPN-207501"</v>
      </c>
      <c r="E16" s="74" t="str">
        <f>"A108407"</f>
        <v>A108407</v>
      </c>
      <c r="F16" s="74" t="str">
        <f>"ITPN-207501"</f>
        <v>ITPN-207501</v>
      </c>
      <c r="I16" s="98"/>
      <c r="J16" s="98"/>
      <c r="K16" s="98"/>
      <c r="L16" s="98"/>
      <c r="M16" s="98"/>
    </row>
    <row r="17" spans="1:17" hidden="1" x14ac:dyDescent="0.25">
      <c r="A17" s="74" t="s">
        <v>6</v>
      </c>
      <c r="B17" s="76" t="str">
        <f t="shared" ref="B17:B27" si="2">B18</f>
        <v>Hide</v>
      </c>
      <c r="C17" s="74" t="s">
        <v>1250</v>
      </c>
      <c r="E17" s="74" t="str">
        <f>E12</f>
        <v>A107851</v>
      </c>
      <c r="F17" s="74" t="str">
        <f>F12</f>
        <v>ITPN-207428</v>
      </c>
      <c r="I17" s="98"/>
      <c r="J17" s="98"/>
      <c r="K17" s="98"/>
      <c r="L17" s="98"/>
      <c r="M17" s="98"/>
    </row>
    <row r="18" spans="1:17" hidden="1" x14ac:dyDescent="0.25">
      <c r="A18" s="74" t="s">
        <v>6</v>
      </c>
      <c r="B18" s="76" t="str">
        <f t="shared" si="2"/>
        <v>Hide</v>
      </c>
      <c r="E18" s="92" t="s">
        <v>1248</v>
      </c>
      <c r="F18" s="92" t="s">
        <v>1247</v>
      </c>
      <c r="I18" s="98"/>
      <c r="J18" s="98"/>
      <c r="K18" s="98"/>
      <c r="L18" s="98"/>
      <c r="M18" s="98"/>
    </row>
    <row r="19" spans="1:17" hidden="1" x14ac:dyDescent="0.25">
      <c r="B19" s="76" t="str">
        <f t="shared" si="2"/>
        <v>Hide</v>
      </c>
      <c r="E19" s="101" t="s">
        <v>20</v>
      </c>
      <c r="F19" s="184" t="s">
        <v>179</v>
      </c>
      <c r="G19" s="185"/>
      <c r="H19" s="185"/>
      <c r="I19" s="185"/>
      <c r="J19" s="185"/>
      <c r="K19" s="185"/>
      <c r="L19" s="185"/>
      <c r="M19" s="186"/>
    </row>
    <row r="20" spans="1:17" hidden="1" x14ac:dyDescent="0.25">
      <c r="B20" s="76" t="str">
        <f t="shared" si="2"/>
        <v>Hide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hidden="1" thickBot="1" x14ac:dyDescent="0.3">
      <c r="B21" s="76" t="str">
        <f t="shared" si="2"/>
        <v>Hide</v>
      </c>
      <c r="F21" s="190"/>
      <c r="G21" s="191"/>
      <c r="H21" s="191"/>
      <c r="I21" s="191"/>
      <c r="J21" s="191"/>
      <c r="K21" s="191"/>
      <c r="L21" s="191"/>
      <c r="M21" s="192"/>
    </row>
    <row r="22" spans="1:17" hidden="1" x14ac:dyDescent="0.25">
      <c r="B22" s="76" t="str">
        <f t="shared" si="2"/>
        <v>Hide</v>
      </c>
    </row>
    <row r="23" spans="1:17" hidden="1" x14ac:dyDescent="0.25">
      <c r="B23" s="76" t="str">
        <f t="shared" si="2"/>
        <v>Hide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hidden="1" x14ac:dyDescent="0.25">
      <c r="B24" s="76" t="str">
        <f t="shared" si="2"/>
        <v>Hide</v>
      </c>
      <c r="E24" s="101"/>
    </row>
    <row r="25" spans="1:17" hidden="1" x14ac:dyDescent="0.25">
      <c r="B25" s="76" t="str">
        <f t="shared" si="2"/>
        <v>Hide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hidden="1" x14ac:dyDescent="0.25">
      <c r="B26" s="76" t="str">
        <f t="shared" si="2"/>
        <v>Hide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hidden="1" customHeight="1" x14ac:dyDescent="0.25">
      <c r="A27" s="97"/>
      <c r="B27" s="76" t="str">
        <f t="shared" si="2"/>
        <v>Hide</v>
      </c>
      <c r="C27" s="117" t="s">
        <v>59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hidden="1" customHeight="1" x14ac:dyDescent="0.25">
      <c r="B28" s="92" t="str">
        <f>IF(I28="","Hide","Show")</f>
        <v>Hide</v>
      </c>
      <c r="C28" s="74" t="s">
        <v>179</v>
      </c>
      <c r="D28" s="89" t="s">
        <v>179</v>
      </c>
      <c r="E28" s="89" t="s">
        <v>179</v>
      </c>
      <c r="F28" s="89" t="s">
        <v>179</v>
      </c>
      <c r="G28" s="91" t="s">
        <v>180</v>
      </c>
      <c r="H28" s="90" t="s">
        <v>179</v>
      </c>
      <c r="I28" s="89" t="s">
        <v>179</v>
      </c>
      <c r="J28" s="89" t="s">
        <v>179</v>
      </c>
      <c r="K28" s="88"/>
      <c r="L28" s="87"/>
      <c r="M28" s="87"/>
      <c r="N28" s="85" t="s">
        <v>179</v>
      </c>
      <c r="O28" s="85" t="s">
        <v>179</v>
      </c>
      <c r="P28" s="85" t="s">
        <v>179</v>
      </c>
      <c r="Q28" s="86" t="s">
        <v>56</v>
      </c>
    </row>
    <row r="29" spans="1:17" hidden="1" x14ac:dyDescent="0.25">
      <c r="B29" s="74" t="str">
        <f>B28</f>
        <v>Hide</v>
      </c>
      <c r="H29" s="85"/>
      <c r="I29" s="85"/>
    </row>
    <row r="30" spans="1:17" ht="15.75" hidden="1" thickBot="1" x14ac:dyDescent="0.3">
      <c r="B30" s="74" t="str">
        <f>+B29</f>
        <v>Hide</v>
      </c>
      <c r="D30" s="193" t="str">
        <f>+"END OF "&amp;D2</f>
        <v>END OF METROCREST SERVICES  (002127P) - NO F4K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DELIVER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002127P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METROCREST SERVICES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1250</v>
      </c>
      <c r="G36" s="174"/>
      <c r="H36" s="174"/>
      <c r="I36" s="174"/>
      <c r="J36" s="174"/>
      <c r="K36" s="174"/>
      <c r="L36" s="174"/>
      <c r="M36" s="175"/>
    </row>
    <row r="37" spans="1:16" ht="30" hidden="1" customHeight="1" x14ac:dyDescent="0.25">
      <c r="A37" s="76" t="s">
        <v>184</v>
      </c>
      <c r="D37" s="80"/>
      <c r="E37" s="78"/>
      <c r="F37" s="174" t="str">
        <f>"A108061"</f>
        <v>A108061</v>
      </c>
      <c r="G37" s="174"/>
      <c r="H37" s="174"/>
      <c r="I37" s="174"/>
      <c r="J37" s="174"/>
      <c r="K37" s="174"/>
      <c r="L37" s="174"/>
      <c r="M37" s="175"/>
    </row>
    <row r="38" spans="1:16" ht="30" hidden="1" customHeight="1" x14ac:dyDescent="0.25">
      <c r="A38" s="76" t="s">
        <v>184</v>
      </c>
      <c r="D38" s="80"/>
      <c r="E38" s="78"/>
      <c r="F38" s="174" t="str">
        <f>"A108407"</f>
        <v>A108407</v>
      </c>
      <c r="G38" s="174"/>
      <c r="H38" s="174"/>
      <c r="I38" s="174"/>
      <c r="J38" s="174"/>
      <c r="K38" s="174"/>
      <c r="L38" s="174"/>
      <c r="M38" s="175"/>
    </row>
    <row r="39" spans="1:16" ht="15.75" hidden="1" customHeight="1" thickBot="1" x14ac:dyDescent="0.3">
      <c r="A39" s="76" t="s">
        <v>19</v>
      </c>
      <c r="D39" s="80"/>
      <c r="E39" s="78"/>
      <c r="F39" s="78"/>
      <c r="G39" s="79"/>
      <c r="H39" s="78"/>
      <c r="I39" s="78"/>
      <c r="J39" s="78"/>
      <c r="K39" s="78"/>
      <c r="L39" s="78"/>
      <c r="M39" s="77"/>
    </row>
    <row r="40" spans="1:16" ht="36.75" x14ac:dyDescent="0.45">
      <c r="A40" s="76" t="s">
        <v>30</v>
      </c>
      <c r="D40" s="176" t="s">
        <v>50</v>
      </c>
      <c r="E40" s="177"/>
      <c r="F40" s="178">
        <f>+F7</f>
        <v>42612</v>
      </c>
      <c r="G40" s="179"/>
      <c r="H40" s="179"/>
      <c r="I40" s="179"/>
      <c r="J40" s="179"/>
      <c r="K40" s="179"/>
      <c r="L40" s="179"/>
      <c r="M40" s="180"/>
    </row>
    <row r="41" spans="1:16" ht="37.5" thickBot="1" x14ac:dyDescent="0.5">
      <c r="A41" s="76" t="s">
        <v>30</v>
      </c>
      <c r="D41" s="158" t="s">
        <v>32</v>
      </c>
      <c r="E41" s="159"/>
      <c r="F41" s="160"/>
      <c r="G41" s="161"/>
      <c r="H41" s="161"/>
      <c r="I41" s="161"/>
      <c r="J41" s="161"/>
      <c r="K41" s="161"/>
      <c r="L41" s="161"/>
      <c r="M41" s="162"/>
    </row>
    <row r="42" spans="1:16" ht="80.099999999999994" customHeight="1" thickBot="1" x14ac:dyDescent="0.3">
      <c r="A42" s="76" t="s">
        <v>30</v>
      </c>
      <c r="D42" s="163" t="s">
        <v>51</v>
      </c>
      <c r="E42" s="164"/>
      <c r="F42" s="164"/>
      <c r="G42" s="164"/>
      <c r="H42" s="164"/>
      <c r="I42" s="164"/>
      <c r="J42" s="164"/>
      <c r="K42" s="164"/>
      <c r="L42" s="164"/>
      <c r="M42" s="165"/>
    </row>
    <row r="43" spans="1:16" ht="90" customHeight="1" thickBot="1" x14ac:dyDescent="0.3">
      <c r="A43" s="76" t="s">
        <v>30</v>
      </c>
      <c r="D43" s="166" t="str">
        <f>IF(F6="DELIVER",G6,F6)</f>
        <v>COLLIN 3</v>
      </c>
      <c r="E43" s="167"/>
      <c r="F43" s="167"/>
      <c r="G43" s="167"/>
      <c r="H43" s="167"/>
      <c r="I43" s="167"/>
      <c r="J43" s="167"/>
      <c r="K43" s="167"/>
      <c r="L43" s="167"/>
      <c r="M43" s="168"/>
    </row>
    <row r="44" spans="1:16" ht="60" customHeight="1" thickBot="1" x14ac:dyDescent="0.3">
      <c r="A44" s="76" t="s">
        <v>30</v>
      </c>
      <c r="D44" s="169" t="s">
        <v>55</v>
      </c>
      <c r="E44" s="170"/>
      <c r="F44" s="170"/>
      <c r="G44" s="170"/>
      <c r="H44" s="170"/>
      <c r="I44" s="170"/>
      <c r="J44" s="170"/>
      <c r="K44" s="170"/>
      <c r="L44" s="170"/>
      <c r="M44" s="171"/>
    </row>
  </sheetData>
  <mergeCells count="19">
    <mergeCell ref="D40:E40"/>
    <mergeCell ref="F40:M40"/>
    <mergeCell ref="D2:M2"/>
    <mergeCell ref="F19:M21"/>
    <mergeCell ref="D30:M30"/>
    <mergeCell ref="D32:M32"/>
    <mergeCell ref="D33:E33"/>
    <mergeCell ref="F33:M33"/>
    <mergeCell ref="F37:M37"/>
    <mergeCell ref="F38:M38"/>
    <mergeCell ref="D34:E34"/>
    <mergeCell ref="F34:M34"/>
    <mergeCell ref="D35:E35"/>
    <mergeCell ref="F36:M36"/>
    <mergeCell ref="D41:E41"/>
    <mergeCell ref="F41:M41"/>
    <mergeCell ref="D42:M42"/>
    <mergeCell ref="D43:M43"/>
    <mergeCell ref="D44:M44"/>
  </mergeCells>
  <conditionalFormatting sqref="F6">
    <cfRule type="cellIs" dxfId="99" priority="5" operator="equal">
      <formula>"DELIVER"</formula>
    </cfRule>
  </conditionalFormatting>
  <conditionalFormatting sqref="D32">
    <cfRule type="cellIs" dxfId="98" priority="4" operator="equal">
      <formula>"DELIVER"</formula>
    </cfRule>
  </conditionalFormatting>
  <conditionalFormatting sqref="D2:M2">
    <cfRule type="expression" dxfId="97" priority="3">
      <formula>$F$6="DELIVER"</formula>
    </cfRule>
  </conditionalFormatting>
  <conditionalFormatting sqref="G6">
    <cfRule type="expression" dxfId="96" priority="2">
      <formula>$F$6="DELIVER"</formula>
    </cfRule>
  </conditionalFormatting>
  <conditionalFormatting sqref="D43">
    <cfRule type="expression" dxfId="9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1754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NORTH DALLAS SHARED MINISTRIES  (002218P)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"002218P"</f>
        <v>002218P</v>
      </c>
      <c r="E4" s="101" t="s">
        <v>37</v>
      </c>
      <c r="F4" s="105" t="str">
        <f>C4</f>
        <v>002218P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1263</v>
      </c>
      <c r="E5" s="101" t="s">
        <v>36</v>
      </c>
      <c r="F5" s="112" t="s">
        <v>1183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1264</v>
      </c>
      <c r="E6" s="101" t="s">
        <v>38</v>
      </c>
      <c r="F6" s="105" t="s">
        <v>60</v>
      </c>
      <c r="G6" s="110" t="s">
        <v>1200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A107923|A108183|A107923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ITPN-207432|ITPN-207448|ITPN-207432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1265</v>
      </c>
      <c r="E12" s="74" t="s">
        <v>1257</v>
      </c>
      <c r="F12" s="74" t="s">
        <v>1258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Pick"",""2"",""ITPN-207448"""</f>
        <v>"Ceres NTFB Live","NTFB Live","5766","1","Invt. Pick","2","ITPN-207448"</v>
      </c>
      <c r="E13" s="74" t="s">
        <v>1259</v>
      </c>
      <c r="F13" s="74" t="s">
        <v>1260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1257</v>
      </c>
      <c r="E14" s="74" t="str">
        <f>E12</f>
        <v>A107923</v>
      </c>
      <c r="F14" s="74" t="str">
        <f>F12</f>
        <v>ITPN-207432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1261</v>
      </c>
      <c r="F15" s="92" t="s">
        <v>1262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59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NORTH DALLAS SHARED MINISTRIES  (002218P) - NO F4K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002218P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NORTH DALLAS SHARED MINISTRIES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1257</v>
      </c>
      <c r="G33" s="174"/>
      <c r="H33" s="174"/>
      <c r="I33" s="174"/>
      <c r="J33" s="174"/>
      <c r="K33" s="174"/>
      <c r="L33" s="174"/>
      <c r="M33" s="175"/>
    </row>
    <row r="34" spans="1:13" ht="30" hidden="1" customHeight="1" x14ac:dyDescent="0.25">
      <c r="A34" s="76" t="s">
        <v>184</v>
      </c>
      <c r="D34" s="80"/>
      <c r="E34" s="78"/>
      <c r="F34" s="174" t="str">
        <f>"A108183"</f>
        <v>A108183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>DALLAS 4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8">
    <mergeCell ref="D36:E36"/>
    <mergeCell ref="F36:M36"/>
    <mergeCell ref="D2:M2"/>
    <mergeCell ref="F16:M18"/>
    <mergeCell ref="D27:M27"/>
    <mergeCell ref="D29:M29"/>
    <mergeCell ref="D30:E30"/>
    <mergeCell ref="F30:M30"/>
    <mergeCell ref="F34:M34"/>
    <mergeCell ref="D31:E31"/>
    <mergeCell ref="F31:M31"/>
    <mergeCell ref="D32:E32"/>
    <mergeCell ref="F33:M33"/>
    <mergeCell ref="D37:E37"/>
    <mergeCell ref="F37:M37"/>
    <mergeCell ref="D38:M38"/>
    <mergeCell ref="D39:M39"/>
    <mergeCell ref="D40:M40"/>
  </mergeCells>
  <conditionalFormatting sqref="F6">
    <cfRule type="cellIs" dxfId="94" priority="5" operator="equal">
      <formula>"DELIVER"</formula>
    </cfRule>
  </conditionalFormatting>
  <conditionalFormatting sqref="D29">
    <cfRule type="cellIs" dxfId="93" priority="4" operator="equal">
      <formula>"DELIVER"</formula>
    </cfRule>
  </conditionalFormatting>
  <conditionalFormatting sqref="D2:M2">
    <cfRule type="expression" dxfId="92" priority="3">
      <formula>$F$6="DELIVER"</formula>
    </cfRule>
  </conditionalFormatting>
  <conditionalFormatting sqref="G6">
    <cfRule type="expression" dxfId="91" priority="2">
      <formula>$F$6="DELIVER"</formula>
    </cfRule>
  </conditionalFormatting>
  <conditionalFormatting sqref="D39">
    <cfRule type="expression" dxfId="9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1756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IF(F30="","HIDESHEET","")</f>
        <v>HIDESHEET</v>
      </c>
      <c r="C2" s="74" t="s">
        <v>7</v>
      </c>
      <c r="D2" s="181" t="str">
        <f>IF(E30="",F5&amp;"  ("&amp;F4&amp;") - NO "&amp;C29,F5&amp;"  ("&amp;F4&amp;") - "&amp;C29&amp;" PICK LIST")</f>
        <v>WHITE ROCK CENTER HOPE/SEDEA  (002341P)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"002341P"</f>
        <v>002341P</v>
      </c>
      <c r="E4" s="101" t="s">
        <v>37</v>
      </c>
      <c r="F4" s="105" t="str">
        <f>C4</f>
        <v>002341P</v>
      </c>
      <c r="K4" s="101" t="s">
        <v>42</v>
      </c>
      <c r="L4" s="104"/>
      <c r="M4" s="111">
        <f>SUM(I30:I31)</f>
        <v>0</v>
      </c>
    </row>
    <row r="5" spans="1:26" ht="18" hidden="1" customHeight="1" x14ac:dyDescent="0.25">
      <c r="B5" s="76" t="str">
        <f t="shared" si="0"/>
        <v>Hide</v>
      </c>
      <c r="C5" s="109" t="s">
        <v>1268</v>
      </c>
      <c r="E5" s="101" t="s">
        <v>36</v>
      </c>
      <c r="F5" s="112" t="s">
        <v>1196</v>
      </c>
      <c r="K5" s="101" t="s">
        <v>43</v>
      </c>
      <c r="L5" s="104"/>
      <c r="M5" s="111">
        <f>ROUND(SUM(O30:O31),0)</f>
        <v>0</v>
      </c>
    </row>
    <row r="6" spans="1:26" ht="18" hidden="1" customHeight="1" x14ac:dyDescent="0.25">
      <c r="B6" s="76" t="str">
        <f t="shared" si="0"/>
        <v>Hide</v>
      </c>
      <c r="C6" s="109" t="s">
        <v>1269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ROUND(COUNT(O30:O31),0)</f>
        <v>0</v>
      </c>
      <c r="P6" s="101"/>
      <c r="W6" s="101" t="str">
        <f>"ESTIMATED "&amp;O29&amp;"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E20</f>
        <v>A107826|A107826|A108003|A108192|A108400|A108471|A108471|A107826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F20</f>
        <v>ITPN-207426|ITPN-207427|ITPN-207436|ITPN-207450|ITPN-207495|ITPN-207505|ITPN-207506|ITPN-207426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B19</f>
        <v>Hide</v>
      </c>
      <c r="C12" s="74" t="s">
        <v>1268</v>
      </c>
      <c r="E12" s="74" t="str">
        <f>"A107826"</f>
        <v>A107826</v>
      </c>
      <c r="F12" s="74" t="str">
        <f>"ITPN-207426"</f>
        <v>ITPN-207426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8" si="1">B20</f>
        <v>Hide</v>
      </c>
      <c r="C13" s="74" t="str">
        <f>"""Ceres NTFB Live"",""NTFB Live"",""5766"",""1"",""Invt. Pick"",""2"",""ITPN-207427"""</f>
        <v>"Ceres NTFB Live","NTFB Live","5766","1","Invt. Pick","2","ITPN-207427"</v>
      </c>
      <c r="E13" s="74" t="str">
        <f>"A107826"</f>
        <v>A107826</v>
      </c>
      <c r="F13" s="74" t="str">
        <f>"ITPN-207427"</f>
        <v>ITPN-207427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Pick"",""2"",""ITPN-207436"""</f>
        <v>"Ceres NTFB Live","NTFB Live","5766","1","Invt. Pick","2","ITPN-207436"</v>
      </c>
      <c r="E14" s="74" t="str">
        <f>"A108003"</f>
        <v>A108003</v>
      </c>
      <c r="F14" s="74" t="str">
        <f>"ITPN-207436"</f>
        <v>ITPN-207436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Pick"",""2"",""ITPN-207450"""</f>
        <v>"Ceres NTFB Live","NTFB Live","5766","1","Invt. Pick","2","ITPN-207450"</v>
      </c>
      <c r="E15" s="74" t="str">
        <f>"A108192"</f>
        <v>A108192</v>
      </c>
      <c r="F15" s="74" t="str">
        <f>"ITPN-207450"</f>
        <v>ITPN-207450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Pick"",""2"",""ITPN-207495"""</f>
        <v>"Ceres NTFB Live","NTFB Live","5766","1","Invt. Pick","2","ITPN-207495"</v>
      </c>
      <c r="E16" s="74" t="str">
        <f>"A108400"</f>
        <v>A108400</v>
      </c>
      <c r="F16" s="74" t="str">
        <f>"ITPN-207495"</f>
        <v>ITPN-207495</v>
      </c>
      <c r="I16" s="98"/>
      <c r="J16" s="98"/>
      <c r="K16" s="98"/>
      <c r="L16" s="98"/>
      <c r="M16" s="98"/>
    </row>
    <row r="17" spans="1:17" hidden="1" x14ac:dyDescent="0.25">
      <c r="A17" s="74" t="s">
        <v>173</v>
      </c>
      <c r="B17" s="76" t="str">
        <f t="shared" si="1"/>
        <v>Hide</v>
      </c>
      <c r="C17" s="74" t="str">
        <f>"""Ceres NTFB Live"",""NTFB Live"",""5766"",""1"",""Invt. Pick"",""2"",""ITPN-207505"""</f>
        <v>"Ceres NTFB Live","NTFB Live","5766","1","Invt. Pick","2","ITPN-207505"</v>
      </c>
      <c r="E17" s="74" t="str">
        <f>"A108471"</f>
        <v>A108471</v>
      </c>
      <c r="F17" s="74" t="str">
        <f>"ITPN-207505"</f>
        <v>ITPN-207505</v>
      </c>
      <c r="I17" s="98"/>
      <c r="J17" s="98"/>
      <c r="K17" s="98"/>
      <c r="L17" s="98"/>
      <c r="M17" s="98"/>
    </row>
    <row r="18" spans="1:17" hidden="1" x14ac:dyDescent="0.25">
      <c r="A18" s="74" t="s">
        <v>173</v>
      </c>
      <c r="B18" s="76" t="str">
        <f t="shared" si="1"/>
        <v>Hide</v>
      </c>
      <c r="C18" s="74" t="str">
        <f>"""Ceres NTFB Live"",""NTFB Live"",""5766"",""1"",""Invt. Pick"",""2"",""ITPN-207506"""</f>
        <v>"Ceres NTFB Live","NTFB Live","5766","1","Invt. Pick","2","ITPN-207506"</v>
      </c>
      <c r="E18" s="74" t="str">
        <f>"A108471"</f>
        <v>A108471</v>
      </c>
      <c r="F18" s="74" t="str">
        <f>"ITPN-207506"</f>
        <v>ITPN-207506</v>
      </c>
      <c r="I18" s="98"/>
      <c r="J18" s="98"/>
      <c r="K18" s="98"/>
      <c r="L18" s="98"/>
      <c r="M18" s="98"/>
    </row>
    <row r="19" spans="1:17" hidden="1" x14ac:dyDescent="0.25">
      <c r="A19" s="74" t="s">
        <v>6</v>
      </c>
      <c r="B19" s="76" t="str">
        <f t="shared" ref="B19:B29" si="2">B20</f>
        <v>Hide</v>
      </c>
      <c r="C19" s="74" t="s">
        <v>1270</v>
      </c>
      <c r="E19" s="74" t="str">
        <f>E12</f>
        <v>A107826</v>
      </c>
      <c r="F19" s="74" t="str">
        <f>F12</f>
        <v>ITPN-207426</v>
      </c>
      <c r="I19" s="98"/>
      <c r="J19" s="98"/>
      <c r="K19" s="98"/>
      <c r="L19" s="98"/>
      <c r="M19" s="98"/>
    </row>
    <row r="20" spans="1:17" hidden="1" x14ac:dyDescent="0.25">
      <c r="A20" s="74" t="s">
        <v>6</v>
      </c>
      <c r="B20" s="76" t="str">
        <f t="shared" si="2"/>
        <v>Hide</v>
      </c>
      <c r="E20" s="92" t="s">
        <v>1800</v>
      </c>
      <c r="F20" s="92" t="s">
        <v>1799</v>
      </c>
      <c r="I20" s="98"/>
      <c r="J20" s="98"/>
      <c r="K20" s="98"/>
      <c r="L20" s="98"/>
      <c r="M20" s="98"/>
    </row>
    <row r="21" spans="1:17" hidden="1" x14ac:dyDescent="0.25">
      <c r="B21" s="76" t="str">
        <f t="shared" si="2"/>
        <v>Hide</v>
      </c>
      <c r="E21" s="101" t="s">
        <v>20</v>
      </c>
      <c r="F21" s="184" t="s">
        <v>179</v>
      </c>
      <c r="G21" s="185"/>
      <c r="H21" s="185"/>
      <c r="I21" s="185"/>
      <c r="J21" s="185"/>
      <c r="K21" s="185"/>
      <c r="L21" s="185"/>
      <c r="M21" s="186"/>
    </row>
    <row r="22" spans="1:17" hidden="1" x14ac:dyDescent="0.25">
      <c r="B22" s="76" t="str">
        <f t="shared" si="2"/>
        <v>Hide</v>
      </c>
      <c r="F22" s="187"/>
      <c r="G22" s="188"/>
      <c r="H22" s="188"/>
      <c r="I22" s="188"/>
      <c r="J22" s="188"/>
      <c r="K22" s="188"/>
      <c r="L22" s="188"/>
      <c r="M22" s="189"/>
    </row>
    <row r="23" spans="1:17" ht="15.75" hidden="1" thickBot="1" x14ac:dyDescent="0.3">
      <c r="B23" s="76" t="str">
        <f t="shared" si="2"/>
        <v>Hide</v>
      </c>
      <c r="F23" s="190"/>
      <c r="G23" s="191"/>
      <c r="H23" s="191"/>
      <c r="I23" s="191"/>
      <c r="J23" s="191"/>
      <c r="K23" s="191"/>
      <c r="L23" s="191"/>
      <c r="M23" s="192"/>
    </row>
    <row r="24" spans="1:17" hidden="1" x14ac:dyDescent="0.25">
      <c r="B24" s="76" t="str">
        <f t="shared" si="2"/>
        <v>Hide</v>
      </c>
    </row>
    <row r="25" spans="1:17" hidden="1" x14ac:dyDescent="0.25">
      <c r="B25" s="76" t="str">
        <f t="shared" si="2"/>
        <v>Hide</v>
      </c>
      <c r="E25" s="101" t="s">
        <v>33</v>
      </c>
      <c r="F25" s="100"/>
      <c r="G25" s="102"/>
      <c r="H25" s="101" t="s">
        <v>53</v>
      </c>
      <c r="I25" s="100"/>
      <c r="J25" s="100"/>
      <c r="K25" s="100"/>
    </row>
    <row r="26" spans="1:17" hidden="1" x14ac:dyDescent="0.25">
      <c r="B26" s="76" t="str">
        <f t="shared" si="2"/>
        <v>Hide</v>
      </c>
      <c r="E26" s="101"/>
    </row>
    <row r="27" spans="1:17" hidden="1" x14ac:dyDescent="0.25">
      <c r="B27" s="76" t="str">
        <f t="shared" si="2"/>
        <v>Hide</v>
      </c>
      <c r="E27" s="101" t="s">
        <v>32</v>
      </c>
      <c r="F27" s="100"/>
      <c r="G27" s="102"/>
      <c r="H27" s="101" t="s">
        <v>54</v>
      </c>
      <c r="I27" s="100"/>
      <c r="J27" s="100"/>
      <c r="K27" s="100"/>
    </row>
    <row r="28" spans="1:17" hidden="1" x14ac:dyDescent="0.25">
      <c r="B28" s="76" t="str">
        <f t="shared" si="2"/>
        <v>Hide</v>
      </c>
      <c r="C28" s="74" t="s">
        <v>52</v>
      </c>
      <c r="D28" s="74" t="s">
        <v>52</v>
      </c>
      <c r="F28" s="99"/>
      <c r="I28" s="98"/>
      <c r="J28" s="98"/>
      <c r="K28" s="98"/>
      <c r="L28" s="98"/>
      <c r="M28" s="98"/>
    </row>
    <row r="29" spans="1:17" s="75" customFormat="1" ht="15.95" hidden="1" customHeight="1" x14ac:dyDescent="0.25">
      <c r="A29" s="97"/>
      <c r="B29" s="76" t="str">
        <f t="shared" si="2"/>
        <v>Hide</v>
      </c>
      <c r="C29" s="117" t="s">
        <v>59</v>
      </c>
      <c r="D29" s="94" t="s">
        <v>28</v>
      </c>
      <c r="E29" s="94" t="s">
        <v>26</v>
      </c>
      <c r="F29" s="94" t="s">
        <v>29</v>
      </c>
      <c r="G29" s="94" t="s">
        <v>57</v>
      </c>
      <c r="H29" s="94" t="s">
        <v>27</v>
      </c>
      <c r="I29" s="94" t="s">
        <v>25</v>
      </c>
      <c r="J29" s="94" t="s">
        <v>10</v>
      </c>
      <c r="K29" s="94" t="s">
        <v>24</v>
      </c>
      <c r="L29" s="95"/>
      <c r="M29" s="94" t="s">
        <v>31</v>
      </c>
      <c r="N29" s="93" t="s">
        <v>21</v>
      </c>
      <c r="O29" s="93" t="s">
        <v>22</v>
      </c>
      <c r="P29" s="93" t="s">
        <v>23</v>
      </c>
      <c r="Q29" s="93"/>
    </row>
    <row r="30" spans="1:17" ht="24.95" hidden="1" customHeight="1" x14ac:dyDescent="0.25">
      <c r="B30" s="92" t="str">
        <f>IF(I30="","Hide","Show")</f>
        <v>Hide</v>
      </c>
      <c r="C30" s="74" t="s">
        <v>179</v>
      </c>
      <c r="D30" s="89" t="s">
        <v>179</v>
      </c>
      <c r="E30" s="89" t="s">
        <v>179</v>
      </c>
      <c r="F30" s="89" t="s">
        <v>179</v>
      </c>
      <c r="G30" s="91" t="s">
        <v>180</v>
      </c>
      <c r="H30" s="90" t="s">
        <v>179</v>
      </c>
      <c r="I30" s="89" t="s">
        <v>179</v>
      </c>
      <c r="J30" s="89" t="s">
        <v>179</v>
      </c>
      <c r="K30" s="88"/>
      <c r="L30" s="87"/>
      <c r="M30" s="87"/>
      <c r="N30" s="85" t="s">
        <v>179</v>
      </c>
      <c r="O30" s="85" t="s">
        <v>179</v>
      </c>
      <c r="P30" s="85" t="s">
        <v>179</v>
      </c>
      <c r="Q30" s="86" t="s">
        <v>56</v>
      </c>
    </row>
    <row r="31" spans="1:17" hidden="1" x14ac:dyDescent="0.25">
      <c r="B31" s="74" t="str">
        <f>B30</f>
        <v>Hide</v>
      </c>
      <c r="H31" s="85"/>
      <c r="I31" s="85"/>
    </row>
    <row r="32" spans="1:17" ht="15.75" hidden="1" thickBot="1" x14ac:dyDescent="0.3">
      <c r="B32" s="74" t="str">
        <f>+B31</f>
        <v>Hide</v>
      </c>
      <c r="D32" s="193" t="str">
        <f>+"END OF "&amp;D2</f>
        <v>END OF WHITE ROCK CENTER HOPE/SEDEA  (002341P) - NO F4K</v>
      </c>
      <c r="E32" s="194"/>
      <c r="F32" s="194"/>
      <c r="G32" s="194"/>
      <c r="H32" s="194"/>
      <c r="I32" s="194"/>
      <c r="J32" s="194"/>
      <c r="K32" s="194"/>
      <c r="L32" s="194"/>
      <c r="M32" s="195"/>
    </row>
    <row r="33" spans="1:16" ht="15.75" thickBot="1" x14ac:dyDescent="0.3"/>
    <row r="34" spans="1:16" ht="80.099999999999994" customHeight="1" thickBot="1" x14ac:dyDescent="0.3">
      <c r="A34" s="76" t="s">
        <v>30</v>
      </c>
      <c r="D34" s="166" t="str">
        <f>+F6</f>
        <v>PICKUP</v>
      </c>
      <c r="E34" s="167"/>
      <c r="F34" s="167"/>
      <c r="G34" s="167"/>
      <c r="H34" s="167"/>
      <c r="I34" s="167"/>
      <c r="J34" s="167"/>
      <c r="K34" s="167"/>
      <c r="L34" s="167"/>
      <c r="M34" s="168"/>
    </row>
    <row r="35" spans="1:16" ht="36.75" x14ac:dyDescent="0.45">
      <c r="A35" s="76" t="s">
        <v>30</v>
      </c>
      <c r="D35" s="176" t="s">
        <v>12</v>
      </c>
      <c r="E35" s="177"/>
      <c r="F35" s="196" t="str">
        <f>+F4</f>
        <v>002341P</v>
      </c>
      <c r="G35" s="196"/>
      <c r="H35" s="196"/>
      <c r="I35" s="196"/>
      <c r="J35" s="196"/>
      <c r="K35" s="196"/>
      <c r="L35" s="196"/>
      <c r="M35" s="197"/>
    </row>
    <row r="36" spans="1:16" ht="37.5" customHeight="1" thickBot="1" x14ac:dyDescent="0.5">
      <c r="A36" s="76" t="s">
        <v>30</v>
      </c>
      <c r="D36" s="158" t="s">
        <v>5</v>
      </c>
      <c r="E36" s="159"/>
      <c r="F36" s="161" t="str">
        <f>+F5</f>
        <v>WHITE ROCK CENTER HOPE/SEDEA</v>
      </c>
      <c r="G36" s="161"/>
      <c r="H36" s="161"/>
      <c r="I36" s="161"/>
      <c r="J36" s="161"/>
      <c r="K36" s="161"/>
      <c r="L36" s="161"/>
      <c r="M36" s="162"/>
      <c r="N36" s="84"/>
      <c r="O36" s="84"/>
      <c r="P36" s="84"/>
    </row>
    <row r="37" spans="1:16" ht="33.75" hidden="1" thickBot="1" x14ac:dyDescent="0.45">
      <c r="A37" s="76" t="s">
        <v>19</v>
      </c>
      <c r="D37" s="172" t="s">
        <v>49</v>
      </c>
      <c r="E37" s="173"/>
      <c r="F37" s="82"/>
      <c r="G37" s="83"/>
      <c r="H37" s="82"/>
      <c r="I37" s="82"/>
      <c r="J37" s="82"/>
      <c r="K37" s="82"/>
      <c r="L37" s="82"/>
      <c r="M37" s="81"/>
    </row>
    <row r="38" spans="1:16" ht="30" hidden="1" customHeight="1" x14ac:dyDescent="0.25">
      <c r="A38" s="76" t="s">
        <v>19</v>
      </c>
      <c r="D38" s="80"/>
      <c r="E38" s="78"/>
      <c r="F38" s="174" t="s">
        <v>1270</v>
      </c>
      <c r="G38" s="174"/>
      <c r="H38" s="174"/>
      <c r="I38" s="174"/>
      <c r="J38" s="174"/>
      <c r="K38" s="174"/>
      <c r="L38" s="174"/>
      <c r="M38" s="175"/>
    </row>
    <row r="39" spans="1:16" ht="30" hidden="1" customHeight="1" x14ac:dyDescent="0.25">
      <c r="A39" s="76" t="s">
        <v>184</v>
      </c>
      <c r="D39" s="80"/>
      <c r="E39" s="78"/>
      <c r="F39" s="174" t="str">
        <f>"A108003"</f>
        <v>A108003</v>
      </c>
      <c r="G39" s="174"/>
      <c r="H39" s="174"/>
      <c r="I39" s="174"/>
      <c r="J39" s="174"/>
      <c r="K39" s="174"/>
      <c r="L39" s="174"/>
      <c r="M39" s="175"/>
    </row>
    <row r="40" spans="1:16" ht="30" hidden="1" customHeight="1" x14ac:dyDescent="0.25">
      <c r="A40" s="76" t="s">
        <v>184</v>
      </c>
      <c r="D40" s="80"/>
      <c r="E40" s="78"/>
      <c r="F40" s="174" t="str">
        <f>"A108192"</f>
        <v>A108192</v>
      </c>
      <c r="G40" s="174"/>
      <c r="H40" s="174"/>
      <c r="I40" s="174"/>
      <c r="J40" s="174"/>
      <c r="K40" s="174"/>
      <c r="L40" s="174"/>
      <c r="M40" s="175"/>
    </row>
    <row r="41" spans="1:16" ht="30" hidden="1" customHeight="1" x14ac:dyDescent="0.25">
      <c r="A41" s="76" t="s">
        <v>184</v>
      </c>
      <c r="D41" s="80"/>
      <c r="E41" s="78"/>
      <c r="F41" s="174" t="str">
        <f>"A108400"</f>
        <v>A108400</v>
      </c>
      <c r="G41" s="174"/>
      <c r="H41" s="174"/>
      <c r="I41" s="174"/>
      <c r="J41" s="174"/>
      <c r="K41" s="174"/>
      <c r="L41" s="174"/>
      <c r="M41" s="175"/>
    </row>
    <row r="42" spans="1:16" ht="30" hidden="1" customHeight="1" x14ac:dyDescent="0.25">
      <c r="A42" s="76" t="s">
        <v>184</v>
      </c>
      <c r="D42" s="80"/>
      <c r="E42" s="78"/>
      <c r="F42" s="174" t="str">
        <f>"A108471"</f>
        <v>A108471</v>
      </c>
      <c r="G42" s="174"/>
      <c r="H42" s="174"/>
      <c r="I42" s="174"/>
      <c r="J42" s="174"/>
      <c r="K42" s="174"/>
      <c r="L42" s="174"/>
      <c r="M42" s="175"/>
    </row>
    <row r="43" spans="1:16" ht="15.75" hidden="1" customHeight="1" thickBot="1" x14ac:dyDescent="0.3">
      <c r="A43" s="76" t="s">
        <v>19</v>
      </c>
      <c r="D43" s="80"/>
      <c r="E43" s="78"/>
      <c r="F43" s="78"/>
      <c r="G43" s="79"/>
      <c r="H43" s="78"/>
      <c r="I43" s="78"/>
      <c r="J43" s="78"/>
      <c r="K43" s="78"/>
      <c r="L43" s="78"/>
      <c r="M43" s="77"/>
    </row>
    <row r="44" spans="1:16" ht="36.75" x14ac:dyDescent="0.45">
      <c r="A44" s="76" t="s">
        <v>30</v>
      </c>
      <c r="D44" s="176" t="s">
        <v>50</v>
      </c>
      <c r="E44" s="177"/>
      <c r="F44" s="178">
        <f>+F7</f>
        <v>42612</v>
      </c>
      <c r="G44" s="179"/>
      <c r="H44" s="179"/>
      <c r="I44" s="179"/>
      <c r="J44" s="179"/>
      <c r="K44" s="179"/>
      <c r="L44" s="179"/>
      <c r="M44" s="180"/>
    </row>
    <row r="45" spans="1:16" ht="37.5" thickBot="1" x14ac:dyDescent="0.5">
      <c r="A45" s="76" t="s">
        <v>30</v>
      </c>
      <c r="D45" s="158" t="s">
        <v>32</v>
      </c>
      <c r="E45" s="159"/>
      <c r="F45" s="160"/>
      <c r="G45" s="161"/>
      <c r="H45" s="161"/>
      <c r="I45" s="161"/>
      <c r="J45" s="161"/>
      <c r="K45" s="161"/>
      <c r="L45" s="161"/>
      <c r="M45" s="162"/>
    </row>
    <row r="46" spans="1:16" ht="80.099999999999994" customHeight="1" thickBot="1" x14ac:dyDescent="0.3">
      <c r="A46" s="76" t="s">
        <v>30</v>
      </c>
      <c r="D46" s="163" t="s">
        <v>51</v>
      </c>
      <c r="E46" s="164"/>
      <c r="F46" s="164"/>
      <c r="G46" s="164"/>
      <c r="H46" s="164"/>
      <c r="I46" s="164"/>
      <c r="J46" s="164"/>
      <c r="K46" s="164"/>
      <c r="L46" s="164"/>
      <c r="M46" s="165"/>
    </row>
    <row r="47" spans="1:16" ht="90" customHeight="1" thickBot="1" x14ac:dyDescent="0.3">
      <c r="A47" s="76" t="s">
        <v>30</v>
      </c>
      <c r="D47" s="166" t="str">
        <f>IF(F6="DELIVER",G6,F6)</f>
        <v>PICKUP</v>
      </c>
      <c r="E47" s="167"/>
      <c r="F47" s="167"/>
      <c r="G47" s="167"/>
      <c r="H47" s="167"/>
      <c r="I47" s="167"/>
      <c r="J47" s="167"/>
      <c r="K47" s="167"/>
      <c r="L47" s="167"/>
      <c r="M47" s="168"/>
    </row>
    <row r="48" spans="1:16" ht="60" customHeight="1" thickBot="1" x14ac:dyDescent="0.3">
      <c r="A48" s="76" t="s">
        <v>30</v>
      </c>
      <c r="D48" s="169" t="s">
        <v>55</v>
      </c>
      <c r="E48" s="170"/>
      <c r="F48" s="170"/>
      <c r="G48" s="170"/>
      <c r="H48" s="170"/>
      <c r="I48" s="170"/>
      <c r="J48" s="170"/>
      <c r="K48" s="170"/>
      <c r="L48" s="170"/>
      <c r="M48" s="171"/>
    </row>
  </sheetData>
  <mergeCells count="21">
    <mergeCell ref="D44:E44"/>
    <mergeCell ref="F44:M44"/>
    <mergeCell ref="D2:M2"/>
    <mergeCell ref="F21:M23"/>
    <mergeCell ref="D32:M32"/>
    <mergeCell ref="D34:M34"/>
    <mergeCell ref="D35:E35"/>
    <mergeCell ref="F35:M35"/>
    <mergeCell ref="F39:M39"/>
    <mergeCell ref="F40:M40"/>
    <mergeCell ref="F41:M41"/>
    <mergeCell ref="F42:M42"/>
    <mergeCell ref="D36:E36"/>
    <mergeCell ref="F36:M36"/>
    <mergeCell ref="D37:E37"/>
    <mergeCell ref="F38:M38"/>
    <mergeCell ref="D45:E45"/>
    <mergeCell ref="F45:M45"/>
    <mergeCell ref="D46:M46"/>
    <mergeCell ref="D47:M47"/>
    <mergeCell ref="D48:M48"/>
  </mergeCells>
  <conditionalFormatting sqref="F6">
    <cfRule type="cellIs" dxfId="89" priority="5" operator="equal">
      <formula>"DELIVER"</formula>
    </cfRule>
  </conditionalFormatting>
  <conditionalFormatting sqref="D34">
    <cfRule type="cellIs" dxfId="88" priority="4" operator="equal">
      <formula>"DELIVER"</formula>
    </cfRule>
  </conditionalFormatting>
  <conditionalFormatting sqref="D2:M2">
    <cfRule type="expression" dxfId="87" priority="3">
      <formula>$F$6="DELIVER"</formula>
    </cfRule>
  </conditionalFormatting>
  <conditionalFormatting sqref="G6">
    <cfRule type="expression" dxfId="86" priority="2">
      <formula>$F$6="DELIVER"</formula>
    </cfRule>
  </conditionalFormatting>
  <conditionalFormatting sqref="D47">
    <cfRule type="expression" dxfId="8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2" max="16383" man="1"/>
  </rowBreaks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1758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NAVARRO COUNTY FOOD PANTRY  (002491P)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"002491P"</f>
        <v>002491P</v>
      </c>
      <c r="E4" s="101" t="s">
        <v>37</v>
      </c>
      <c r="F4" s="105" t="str">
        <f>C4</f>
        <v>002491P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1296</v>
      </c>
      <c r="E5" s="101" t="s">
        <v>36</v>
      </c>
      <c r="F5" s="112" t="s">
        <v>730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1297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A108478|A108478|A108478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ITPN-207507|ITPN-207508|ITPN-207507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1298</v>
      </c>
      <c r="E12" s="74" t="s">
        <v>1277</v>
      </c>
      <c r="F12" s="74" t="s">
        <v>1291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Pick"",""2"",""ITPN-207508"""</f>
        <v>"Ceres NTFB Live","NTFB Live","5766","1","Invt. Pick","2","ITPN-207508"</v>
      </c>
      <c r="E13" s="74" t="s">
        <v>1277</v>
      </c>
      <c r="F13" s="74" t="s">
        <v>1292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1277</v>
      </c>
      <c r="E14" s="74" t="str">
        <f>E12</f>
        <v>A108478</v>
      </c>
      <c r="F14" s="74" t="str">
        <f>F12</f>
        <v>ITPN-207507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1293</v>
      </c>
      <c r="F15" s="92" t="s">
        <v>1294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1295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59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NAVARRO COUNTY FOOD PANTRY  (002491P) - NO F4K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002491P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NAVARRO COUNTY FOOD PANTRY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1277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84" priority="5" operator="equal">
      <formula>"DELIVER"</formula>
    </cfRule>
  </conditionalFormatting>
  <conditionalFormatting sqref="D29">
    <cfRule type="cellIs" dxfId="83" priority="4" operator="equal">
      <formula>"DELIVER"</formula>
    </cfRule>
  </conditionalFormatting>
  <conditionalFormatting sqref="D2:M2">
    <cfRule type="expression" dxfId="82" priority="3">
      <formula>$F$6="DELIVER"</formula>
    </cfRule>
  </conditionalFormatting>
  <conditionalFormatting sqref="G6">
    <cfRule type="expression" dxfId="81" priority="2">
      <formula>$F$6="DELIVER"</formula>
    </cfRule>
  </conditionalFormatting>
  <conditionalFormatting sqref="D38">
    <cfRule type="expression" dxfId="8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1760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HOLY COVENANT UMC  (002719P)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"002719P"</f>
        <v>002719P</v>
      </c>
      <c r="E4" s="101" t="s">
        <v>37</v>
      </c>
      <c r="F4" s="105" t="str">
        <f>C4</f>
        <v>002719P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1306</v>
      </c>
      <c r="E5" s="101" t="s">
        <v>36</v>
      </c>
      <c r="F5" s="112" t="s">
        <v>1178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1307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A108316|A108316|A108316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ITPN-207465|ITPN-207466|ITPN-207465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1306</v>
      </c>
      <c r="E12" s="74" t="s">
        <v>1300</v>
      </c>
      <c r="F12" s="74" t="s">
        <v>1301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Pick"",""2"",""ITPN-207466"""</f>
        <v>"Ceres NTFB Live","NTFB Live","5766","1","Invt. Pick","2","ITPN-207466"</v>
      </c>
      <c r="E13" s="74" t="s">
        <v>1300</v>
      </c>
      <c r="F13" s="74" t="s">
        <v>1302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1300</v>
      </c>
      <c r="E14" s="74" t="str">
        <f>E12</f>
        <v>A108316</v>
      </c>
      <c r="F14" s="74" t="str">
        <f>F12</f>
        <v>ITPN-207465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1303</v>
      </c>
      <c r="F15" s="92" t="s">
        <v>1304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1305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59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HOLY COVENANT UMC  (002719P) - NO F4K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002719P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HOLY COVENANT UMC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1300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COLLIN 3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79" priority="5" operator="equal">
      <formula>"DELIVER"</formula>
    </cfRule>
  </conditionalFormatting>
  <conditionalFormatting sqref="D29">
    <cfRule type="cellIs" dxfId="78" priority="4" operator="equal">
      <formula>"DELIVER"</formula>
    </cfRule>
  </conditionalFormatting>
  <conditionalFormatting sqref="D2:M2">
    <cfRule type="expression" dxfId="77" priority="3">
      <formula>$F$6="DELIVER"</formula>
    </cfRule>
  </conditionalFormatting>
  <conditionalFormatting sqref="G6">
    <cfRule type="expression" dxfId="76" priority="2">
      <formula>$F$6="DELIVER"</formula>
    </cfRule>
  </conditionalFormatting>
  <conditionalFormatting sqref="D38">
    <cfRule type="expression" dxfId="7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1762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>HIDESHEET</v>
      </c>
      <c r="C2" s="74" t="s">
        <v>7</v>
      </c>
      <c r="D2" s="181" t="str">
        <f>IF(E28="",F5&amp;"  ("&amp;F4&amp;") - NO "&amp;C27,F5&amp;"  ("&amp;F4&amp;") - "&amp;C27&amp;" PICK LIST")</f>
        <v>GOLDEN GATE BAPTIST CHURCH  (003405P)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"003405P"</f>
        <v>003405P</v>
      </c>
      <c r="E4" s="101" t="s">
        <v>37</v>
      </c>
      <c r="F4" s="105" t="str">
        <f>C4</f>
        <v>003405P</v>
      </c>
      <c r="K4" s="101" t="s">
        <v>42</v>
      </c>
      <c r="L4" s="104"/>
      <c r="M4" s="111">
        <f>SUM(I28:I29)</f>
        <v>0</v>
      </c>
    </row>
    <row r="5" spans="1:26" ht="18" hidden="1" customHeight="1" x14ac:dyDescent="0.25">
      <c r="B5" s="76" t="str">
        <f t="shared" si="0"/>
        <v>Hide</v>
      </c>
      <c r="C5" s="109" t="s">
        <v>1312</v>
      </c>
      <c r="E5" s="101" t="s">
        <v>36</v>
      </c>
      <c r="F5" s="112" t="s">
        <v>1191</v>
      </c>
      <c r="K5" s="101" t="s">
        <v>43</v>
      </c>
      <c r="L5" s="104"/>
      <c r="M5" s="111">
        <f>ROUND(SUM(O28:O29),0)</f>
        <v>0</v>
      </c>
    </row>
    <row r="6" spans="1:26" ht="18" hidden="1" customHeight="1" x14ac:dyDescent="0.25">
      <c r="B6" s="76" t="str">
        <f t="shared" si="0"/>
        <v>Hide</v>
      </c>
      <c r="C6" s="109" t="s">
        <v>1313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ROUND(COUNT(O28:O29),0)</f>
        <v>0</v>
      </c>
      <c r="P6" s="101"/>
      <c r="W6" s="101" t="str">
        <f>"ESTIMATED "&amp;O27&amp;"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E18</f>
        <v>A108357|A108357|A108357|A108358|A108358|A108357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F18</f>
        <v>ITPN-207481|ITPN-207482|ITPN-207483|ITPN-207484|ITPN-207485|ITPN-207481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B17</f>
        <v>Hide</v>
      </c>
      <c r="C12" s="74" t="s">
        <v>1798</v>
      </c>
      <c r="E12" s="74" t="str">
        <f>"A108357"</f>
        <v>A108357</v>
      </c>
      <c r="F12" s="74" t="str">
        <f>"ITPN-207481"</f>
        <v>ITPN-207481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6" si="1">B18</f>
        <v>Hide</v>
      </c>
      <c r="C13" s="74" t="str">
        <f>"""Ceres NTFB Live"",""NTFB Live"",""5766"",""1"",""Invt. Pick"",""2"",""ITPN-207482"""</f>
        <v>"Ceres NTFB Live","NTFB Live","5766","1","Invt. Pick","2","ITPN-207482"</v>
      </c>
      <c r="E13" s="74" t="str">
        <f>"A108357"</f>
        <v>A108357</v>
      </c>
      <c r="F13" s="74" t="str">
        <f>"ITPN-207482"</f>
        <v>ITPN-207482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Pick"",""2"",""ITPN-207483"""</f>
        <v>"Ceres NTFB Live","NTFB Live","5766","1","Invt. Pick","2","ITPN-207483"</v>
      </c>
      <c r="E14" s="74" t="str">
        <f>"A108357"</f>
        <v>A108357</v>
      </c>
      <c r="F14" s="74" t="str">
        <f>"ITPN-207483"</f>
        <v>ITPN-207483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Pick"",""2"",""ITPN-207484"""</f>
        <v>"Ceres NTFB Live","NTFB Live","5766","1","Invt. Pick","2","ITPN-207484"</v>
      </c>
      <c r="E15" s="74" t="str">
        <f>"A108358"</f>
        <v>A108358</v>
      </c>
      <c r="F15" s="74" t="str">
        <f>"ITPN-207484"</f>
        <v>ITPN-207484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Pick"",""2"",""ITPN-207485"""</f>
        <v>"Ceres NTFB Live","NTFB Live","5766","1","Invt. Pick","2","ITPN-207485"</v>
      </c>
      <c r="E16" s="74" t="str">
        <f>"A108358"</f>
        <v>A108358</v>
      </c>
      <c r="F16" s="74" t="str">
        <f>"ITPN-207485"</f>
        <v>ITPN-207485</v>
      </c>
      <c r="I16" s="98"/>
      <c r="J16" s="98"/>
      <c r="K16" s="98"/>
      <c r="L16" s="98"/>
      <c r="M16" s="98"/>
    </row>
    <row r="17" spans="1:17" hidden="1" x14ac:dyDescent="0.25">
      <c r="A17" s="74" t="s">
        <v>6</v>
      </c>
      <c r="B17" s="76" t="str">
        <f t="shared" ref="B17:B27" si="2">B18</f>
        <v>Hide</v>
      </c>
      <c r="C17" s="74" t="s">
        <v>1311</v>
      </c>
      <c r="E17" s="74" t="str">
        <f>E12</f>
        <v>A108357</v>
      </c>
      <c r="F17" s="74" t="str">
        <f>F12</f>
        <v>ITPN-207481</v>
      </c>
      <c r="I17" s="98"/>
      <c r="J17" s="98"/>
      <c r="K17" s="98"/>
      <c r="L17" s="98"/>
      <c r="M17" s="98"/>
    </row>
    <row r="18" spans="1:17" hidden="1" x14ac:dyDescent="0.25">
      <c r="A18" s="74" t="s">
        <v>6</v>
      </c>
      <c r="B18" s="76" t="str">
        <f t="shared" si="2"/>
        <v>Hide</v>
      </c>
      <c r="E18" s="92" t="s">
        <v>1797</v>
      </c>
      <c r="F18" s="92" t="s">
        <v>1796</v>
      </c>
      <c r="I18" s="98"/>
      <c r="J18" s="98"/>
      <c r="K18" s="98"/>
      <c r="L18" s="98"/>
      <c r="M18" s="98"/>
    </row>
    <row r="19" spans="1:17" hidden="1" x14ac:dyDescent="0.25">
      <c r="B19" s="76" t="str">
        <f t="shared" si="2"/>
        <v>Hide</v>
      </c>
      <c r="E19" s="101" t="s">
        <v>20</v>
      </c>
      <c r="F19" s="184" t="s">
        <v>179</v>
      </c>
      <c r="G19" s="185"/>
      <c r="H19" s="185"/>
      <c r="I19" s="185"/>
      <c r="J19" s="185"/>
      <c r="K19" s="185"/>
      <c r="L19" s="185"/>
      <c r="M19" s="186"/>
    </row>
    <row r="20" spans="1:17" hidden="1" x14ac:dyDescent="0.25">
      <c r="B20" s="76" t="str">
        <f t="shared" si="2"/>
        <v>Hide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hidden="1" thickBot="1" x14ac:dyDescent="0.3">
      <c r="B21" s="76" t="str">
        <f t="shared" si="2"/>
        <v>Hide</v>
      </c>
      <c r="F21" s="190"/>
      <c r="G21" s="191"/>
      <c r="H21" s="191"/>
      <c r="I21" s="191"/>
      <c r="J21" s="191"/>
      <c r="K21" s="191"/>
      <c r="L21" s="191"/>
      <c r="M21" s="192"/>
    </row>
    <row r="22" spans="1:17" hidden="1" x14ac:dyDescent="0.25">
      <c r="B22" s="76" t="str">
        <f t="shared" si="2"/>
        <v>Hide</v>
      </c>
    </row>
    <row r="23" spans="1:17" hidden="1" x14ac:dyDescent="0.25">
      <c r="B23" s="76" t="str">
        <f t="shared" si="2"/>
        <v>Hide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hidden="1" x14ac:dyDescent="0.25">
      <c r="B24" s="76" t="str">
        <f t="shared" si="2"/>
        <v>Hide</v>
      </c>
      <c r="E24" s="101"/>
    </row>
    <row r="25" spans="1:17" hidden="1" x14ac:dyDescent="0.25">
      <c r="B25" s="76" t="str">
        <f t="shared" si="2"/>
        <v>Hide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hidden="1" x14ac:dyDescent="0.25">
      <c r="B26" s="76" t="str">
        <f t="shared" si="2"/>
        <v>Hide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hidden="1" customHeight="1" x14ac:dyDescent="0.25">
      <c r="A27" s="97"/>
      <c r="B27" s="76" t="str">
        <f t="shared" si="2"/>
        <v>Hide</v>
      </c>
      <c r="C27" s="117" t="s">
        <v>59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hidden="1" customHeight="1" x14ac:dyDescent="0.25">
      <c r="B28" s="92" t="str">
        <f>IF(I28="","Hide","Show")</f>
        <v>Hide</v>
      </c>
      <c r="C28" s="74" t="s">
        <v>179</v>
      </c>
      <c r="D28" s="89" t="s">
        <v>179</v>
      </c>
      <c r="E28" s="89" t="s">
        <v>179</v>
      </c>
      <c r="F28" s="89" t="s">
        <v>179</v>
      </c>
      <c r="G28" s="91" t="s">
        <v>180</v>
      </c>
      <c r="H28" s="90" t="s">
        <v>179</v>
      </c>
      <c r="I28" s="89" t="s">
        <v>179</v>
      </c>
      <c r="J28" s="89" t="s">
        <v>179</v>
      </c>
      <c r="K28" s="88"/>
      <c r="L28" s="87"/>
      <c r="M28" s="87"/>
      <c r="N28" s="85" t="s">
        <v>179</v>
      </c>
      <c r="O28" s="85" t="s">
        <v>179</v>
      </c>
      <c r="P28" s="85" t="s">
        <v>179</v>
      </c>
      <c r="Q28" s="86" t="s">
        <v>56</v>
      </c>
    </row>
    <row r="29" spans="1:17" hidden="1" x14ac:dyDescent="0.25">
      <c r="B29" s="74" t="str">
        <f>B28</f>
        <v>Hide</v>
      </c>
      <c r="H29" s="85"/>
      <c r="I29" s="85"/>
    </row>
    <row r="30" spans="1:17" ht="15.75" hidden="1" thickBot="1" x14ac:dyDescent="0.3">
      <c r="B30" s="74" t="str">
        <f>+B29</f>
        <v>Hide</v>
      </c>
      <c r="D30" s="193" t="str">
        <f>+"END OF "&amp;D2</f>
        <v>END OF GOLDEN GATE BAPTIST CHURCH  (003405P) - NO F4K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PICKUP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003405P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GOLDEN GATE BAPTIST CHURCH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1311</v>
      </c>
      <c r="G36" s="174"/>
      <c r="H36" s="174"/>
      <c r="I36" s="174"/>
      <c r="J36" s="174"/>
      <c r="K36" s="174"/>
      <c r="L36" s="174"/>
      <c r="M36" s="175"/>
    </row>
    <row r="37" spans="1:16" ht="30" hidden="1" customHeight="1" x14ac:dyDescent="0.25">
      <c r="A37" s="76" t="s">
        <v>184</v>
      </c>
      <c r="D37" s="80"/>
      <c r="E37" s="78"/>
      <c r="F37" s="174" t="str">
        <f>"A108358"</f>
        <v>A108358</v>
      </c>
      <c r="G37" s="174"/>
      <c r="H37" s="174"/>
      <c r="I37" s="174"/>
      <c r="J37" s="174"/>
      <c r="K37" s="174"/>
      <c r="L37" s="174"/>
      <c r="M37" s="175"/>
    </row>
    <row r="38" spans="1:16" ht="15.75" hidden="1" customHeight="1" thickBot="1" x14ac:dyDescent="0.3">
      <c r="A38" s="76" t="s">
        <v>19</v>
      </c>
      <c r="D38" s="80"/>
      <c r="E38" s="78"/>
      <c r="F38" s="78"/>
      <c r="G38" s="79"/>
      <c r="H38" s="78"/>
      <c r="I38" s="78"/>
      <c r="J38" s="78"/>
      <c r="K38" s="78"/>
      <c r="L38" s="78"/>
      <c r="M38" s="77"/>
    </row>
    <row r="39" spans="1:16" ht="36.75" x14ac:dyDescent="0.45">
      <c r="A39" s="76" t="s">
        <v>30</v>
      </c>
      <c r="D39" s="176" t="s">
        <v>50</v>
      </c>
      <c r="E39" s="177"/>
      <c r="F39" s="178">
        <f>+F7</f>
        <v>42612</v>
      </c>
      <c r="G39" s="179"/>
      <c r="H39" s="179"/>
      <c r="I39" s="179"/>
      <c r="J39" s="179"/>
      <c r="K39" s="179"/>
      <c r="L39" s="179"/>
      <c r="M39" s="180"/>
    </row>
    <row r="40" spans="1:16" ht="37.5" thickBot="1" x14ac:dyDescent="0.5">
      <c r="A40" s="76" t="s">
        <v>30</v>
      </c>
      <c r="D40" s="158" t="s">
        <v>32</v>
      </c>
      <c r="E40" s="159"/>
      <c r="F40" s="160"/>
      <c r="G40" s="161"/>
      <c r="H40" s="161"/>
      <c r="I40" s="161"/>
      <c r="J40" s="161"/>
      <c r="K40" s="161"/>
      <c r="L40" s="161"/>
      <c r="M40" s="162"/>
    </row>
    <row r="41" spans="1:16" ht="80.099999999999994" customHeight="1" thickBot="1" x14ac:dyDescent="0.3">
      <c r="A41" s="76" t="s">
        <v>30</v>
      </c>
      <c r="D41" s="163" t="s">
        <v>51</v>
      </c>
      <c r="E41" s="164"/>
      <c r="F41" s="164"/>
      <c r="G41" s="164"/>
      <c r="H41" s="164"/>
      <c r="I41" s="164"/>
      <c r="J41" s="164"/>
      <c r="K41" s="164"/>
      <c r="L41" s="164"/>
      <c r="M41" s="165"/>
    </row>
    <row r="42" spans="1:16" ht="90" customHeight="1" thickBot="1" x14ac:dyDescent="0.3">
      <c r="A42" s="76" t="s">
        <v>30</v>
      </c>
      <c r="D42" s="166" t="str">
        <f>IF(F6="DELIVER",G6,F6)</f>
        <v>PICKUP</v>
      </c>
      <c r="E42" s="167"/>
      <c r="F42" s="167"/>
      <c r="G42" s="167"/>
      <c r="H42" s="167"/>
      <c r="I42" s="167"/>
      <c r="J42" s="167"/>
      <c r="K42" s="167"/>
      <c r="L42" s="167"/>
      <c r="M42" s="168"/>
    </row>
    <row r="43" spans="1:16" ht="60" customHeight="1" thickBot="1" x14ac:dyDescent="0.3">
      <c r="A43" s="76" t="s">
        <v>30</v>
      </c>
      <c r="D43" s="169" t="s">
        <v>55</v>
      </c>
      <c r="E43" s="170"/>
      <c r="F43" s="170"/>
      <c r="G43" s="170"/>
      <c r="H43" s="170"/>
      <c r="I43" s="170"/>
      <c r="J43" s="170"/>
      <c r="K43" s="170"/>
      <c r="L43" s="170"/>
      <c r="M43" s="171"/>
    </row>
  </sheetData>
  <mergeCells count="18">
    <mergeCell ref="D39:E39"/>
    <mergeCell ref="F39:M39"/>
    <mergeCell ref="D2:M2"/>
    <mergeCell ref="F19:M21"/>
    <mergeCell ref="D30:M30"/>
    <mergeCell ref="D32:M32"/>
    <mergeCell ref="D33:E33"/>
    <mergeCell ref="F33:M33"/>
    <mergeCell ref="F37:M37"/>
    <mergeCell ref="D34:E34"/>
    <mergeCell ref="F34:M34"/>
    <mergeCell ref="D35:E35"/>
    <mergeCell ref="F36:M36"/>
    <mergeCell ref="D40:E40"/>
    <mergeCell ref="F40:M40"/>
    <mergeCell ref="D41:M41"/>
    <mergeCell ref="D42:M42"/>
    <mergeCell ref="D43:M43"/>
  </mergeCells>
  <conditionalFormatting sqref="F6">
    <cfRule type="cellIs" dxfId="74" priority="5" operator="equal">
      <formula>"DELIVER"</formula>
    </cfRule>
  </conditionalFormatting>
  <conditionalFormatting sqref="D32">
    <cfRule type="cellIs" dxfId="73" priority="4" operator="equal">
      <formula>"DELIVER"</formula>
    </cfRule>
  </conditionalFormatting>
  <conditionalFormatting sqref="D2:M2">
    <cfRule type="expression" dxfId="72" priority="3">
      <formula>$F$6="DELIVER"</formula>
    </cfRule>
  </conditionalFormatting>
  <conditionalFormatting sqref="G6">
    <cfRule type="expression" dxfId="71" priority="2">
      <formula>$F$6="DELIVER"</formula>
    </cfRule>
  </conditionalFormatting>
  <conditionalFormatting sqref="D42">
    <cfRule type="expression" dxfId="7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1764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NEW ENCOUNTERS  (003511RY)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"003511RY"</f>
        <v>003511RY</v>
      </c>
      <c r="E4" s="101" t="s">
        <v>37</v>
      </c>
      <c r="F4" s="105" t="str">
        <f>C4</f>
        <v>003511RY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1325</v>
      </c>
      <c r="E5" s="101" t="s">
        <v>36</v>
      </c>
      <c r="F5" s="112" t="s">
        <v>1324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1326</v>
      </c>
      <c r="E6" s="101" t="s">
        <v>38</v>
      </c>
      <c r="F6" s="105" t="s">
        <v>60</v>
      </c>
      <c r="G6" s="110" t="s">
        <v>737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A108389|A108389|A108389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ITPN-207492|ITPN-207493|ITPN-207492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1327</v>
      </c>
      <c r="E12" s="74" t="s">
        <v>1319</v>
      </c>
      <c r="F12" s="74" t="s">
        <v>1320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Pick"",""2"",""ITPN-207493"""</f>
        <v>"Ceres NTFB Live","NTFB Live","5766","1","Invt. Pick","2","ITPN-207493"</v>
      </c>
      <c r="E13" s="74" t="s">
        <v>1319</v>
      </c>
      <c r="F13" s="74" t="s">
        <v>1321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1319</v>
      </c>
      <c r="E14" s="74" t="str">
        <f>E12</f>
        <v>A108389</v>
      </c>
      <c r="F14" s="74" t="str">
        <f>F12</f>
        <v>ITPN-207492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1322</v>
      </c>
      <c r="F15" s="92" t="s">
        <v>1323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59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NEW ENCOUNTERS  (003511RY) - NO F4K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003511RY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NEW ENCOUNTERS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1319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NAVARRO 1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69" priority="5" operator="equal">
      <formula>"DELIVER"</formula>
    </cfRule>
  </conditionalFormatting>
  <conditionalFormatting sqref="D29">
    <cfRule type="cellIs" dxfId="68" priority="4" operator="equal">
      <formula>"DELIVER"</formula>
    </cfRule>
  </conditionalFormatting>
  <conditionalFormatting sqref="D2:M2">
    <cfRule type="expression" dxfId="67" priority="3">
      <formula>$F$6="DELIVER"</formula>
    </cfRule>
  </conditionalFormatting>
  <conditionalFormatting sqref="G6">
    <cfRule type="expression" dxfId="66" priority="2">
      <formula>$F$6="DELIVER"</formula>
    </cfRule>
  </conditionalFormatting>
  <conditionalFormatting sqref="D38">
    <cfRule type="expression" dxfId="6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5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1766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IF(F35="","HIDESHEET","")</f>
        <v>HIDESHEET</v>
      </c>
      <c r="C2" s="74" t="s">
        <v>7</v>
      </c>
      <c r="D2" s="181" t="str">
        <f>IF(E35="",F5&amp;"  ("&amp;F4&amp;") - NO "&amp;C34,F5&amp;"  ("&amp;F4&amp;") - "&amp;C34&amp;" PICK LIST")</f>
        <v>ESTATES AT GRAND PRAIRIE INC.  (003549RA)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"003549RA"</f>
        <v>003549RA</v>
      </c>
      <c r="E4" s="101" t="s">
        <v>37</v>
      </c>
      <c r="F4" s="105" t="str">
        <f>C4</f>
        <v>003549RA</v>
      </c>
      <c r="K4" s="101" t="s">
        <v>42</v>
      </c>
      <c r="L4" s="104"/>
      <c r="M4" s="111">
        <f>SUM(I35:I36)</f>
        <v>0</v>
      </c>
    </row>
    <row r="5" spans="1:26" ht="18" hidden="1" customHeight="1" x14ac:dyDescent="0.25">
      <c r="B5" s="76" t="str">
        <f t="shared" si="0"/>
        <v>Hide</v>
      </c>
      <c r="C5" s="109" t="s">
        <v>1331</v>
      </c>
      <c r="E5" s="101" t="s">
        <v>36</v>
      </c>
      <c r="F5" s="112" t="s">
        <v>1188</v>
      </c>
      <c r="K5" s="101" t="s">
        <v>43</v>
      </c>
      <c r="L5" s="104"/>
      <c r="M5" s="111">
        <f>ROUND(SUM(O35:O36),0)</f>
        <v>0</v>
      </c>
    </row>
    <row r="6" spans="1:26" ht="18" hidden="1" customHeight="1" x14ac:dyDescent="0.25">
      <c r="B6" s="76" t="str">
        <f t="shared" si="0"/>
        <v>Hide</v>
      </c>
      <c r="C6" s="109" t="s">
        <v>1332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ROUND(COUNT(O35:O36),0)</f>
        <v>0</v>
      </c>
      <c r="P6" s="101"/>
      <c r="W6" s="101" t="str">
        <f>"ESTIMATED "&amp;O34&amp;"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E25</f>
        <v>A107954|A107954|A107954|A108008|A108008|A108008|A108230|A108259|A108259|A108336|A108418|A108435|A107954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F25</f>
        <v>ITPN-207433|ITPN-207434|ITPN-207435|ITPN-207437|ITPN-207439|ITPN-207440|ITPN-207454|ITPN-207463|ITPN-207464|ITPN-207469|ITPN-207503|ITPN-207504|ITPN-207433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B24</f>
        <v>Hide</v>
      </c>
      <c r="C12" s="74" t="s">
        <v>1333</v>
      </c>
      <c r="E12" s="74" t="str">
        <f>"A107954"</f>
        <v>A107954</v>
      </c>
      <c r="F12" s="74" t="str">
        <f>"ITPN-207433"</f>
        <v>ITPN-207433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23" si="1">B25</f>
        <v>Hide</v>
      </c>
      <c r="C13" s="74" t="str">
        <f>"""Ceres NTFB Live"",""NTFB Live"",""5766"",""1"",""Invt. Pick"",""2"",""ITPN-207434"""</f>
        <v>"Ceres NTFB Live","NTFB Live","5766","1","Invt. Pick","2","ITPN-207434"</v>
      </c>
      <c r="E13" s="74" t="str">
        <f>"A107954"</f>
        <v>A107954</v>
      </c>
      <c r="F13" s="74" t="str">
        <f>"ITPN-207434"</f>
        <v>ITPN-207434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Pick"",""2"",""ITPN-207435"""</f>
        <v>"Ceres NTFB Live","NTFB Live","5766","1","Invt. Pick","2","ITPN-207435"</v>
      </c>
      <c r="E14" s="74" t="str">
        <f>"A107954"</f>
        <v>A107954</v>
      </c>
      <c r="F14" s="74" t="str">
        <f>"ITPN-207435"</f>
        <v>ITPN-207435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Pick"",""2"",""ITPN-207437"""</f>
        <v>"Ceres NTFB Live","NTFB Live","5766","1","Invt. Pick","2","ITPN-207437"</v>
      </c>
      <c r="E15" s="74" t="str">
        <f>"A108008"</f>
        <v>A108008</v>
      </c>
      <c r="F15" s="74" t="str">
        <f>"ITPN-207437"</f>
        <v>ITPN-207437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Pick"",""2"",""ITPN-207439"""</f>
        <v>"Ceres NTFB Live","NTFB Live","5766","1","Invt. Pick","2","ITPN-207439"</v>
      </c>
      <c r="E16" s="74" t="str">
        <f>"A108008"</f>
        <v>A108008</v>
      </c>
      <c r="F16" s="74" t="str">
        <f>"ITPN-207439"</f>
        <v>ITPN-207439</v>
      </c>
      <c r="I16" s="98"/>
      <c r="J16" s="98"/>
      <c r="K16" s="98"/>
      <c r="L16" s="98"/>
      <c r="M16" s="98"/>
    </row>
    <row r="17" spans="1:13" hidden="1" x14ac:dyDescent="0.25">
      <c r="A17" s="74" t="s">
        <v>173</v>
      </c>
      <c r="B17" s="76" t="str">
        <f t="shared" si="1"/>
        <v>Hide</v>
      </c>
      <c r="C17" s="74" t="str">
        <f>"""Ceres NTFB Live"",""NTFB Live"",""5766"",""1"",""Invt. Pick"",""2"",""ITPN-207440"""</f>
        <v>"Ceres NTFB Live","NTFB Live","5766","1","Invt. Pick","2","ITPN-207440"</v>
      </c>
      <c r="E17" s="74" t="str">
        <f>"A108008"</f>
        <v>A108008</v>
      </c>
      <c r="F17" s="74" t="str">
        <f>"ITPN-207440"</f>
        <v>ITPN-207440</v>
      </c>
      <c r="I17" s="98"/>
      <c r="J17" s="98"/>
      <c r="K17" s="98"/>
      <c r="L17" s="98"/>
      <c r="M17" s="98"/>
    </row>
    <row r="18" spans="1:13" hidden="1" x14ac:dyDescent="0.25">
      <c r="A18" s="74" t="s">
        <v>173</v>
      </c>
      <c r="B18" s="76" t="str">
        <f t="shared" si="1"/>
        <v>Hide</v>
      </c>
      <c r="C18" s="74" t="str">
        <f>"""Ceres NTFB Live"",""NTFB Live"",""5766"",""1"",""Invt. Pick"",""2"",""ITPN-207454"""</f>
        <v>"Ceres NTFB Live","NTFB Live","5766","1","Invt. Pick","2","ITPN-207454"</v>
      </c>
      <c r="E18" s="74" t="str">
        <f>"A108230"</f>
        <v>A108230</v>
      </c>
      <c r="F18" s="74" t="str">
        <f>"ITPN-207454"</f>
        <v>ITPN-207454</v>
      </c>
      <c r="I18" s="98"/>
      <c r="J18" s="98"/>
      <c r="K18" s="98"/>
      <c r="L18" s="98"/>
      <c r="M18" s="98"/>
    </row>
    <row r="19" spans="1:13" hidden="1" x14ac:dyDescent="0.25">
      <c r="A19" s="74" t="s">
        <v>173</v>
      </c>
      <c r="B19" s="76" t="str">
        <f t="shared" si="1"/>
        <v>Hide</v>
      </c>
      <c r="C19" s="74" t="str">
        <f>"""Ceres NTFB Live"",""NTFB Live"",""5766"",""1"",""Invt. Pick"",""2"",""ITPN-207463"""</f>
        <v>"Ceres NTFB Live","NTFB Live","5766","1","Invt. Pick","2","ITPN-207463"</v>
      </c>
      <c r="E19" s="74" t="str">
        <f>"A108259"</f>
        <v>A108259</v>
      </c>
      <c r="F19" s="74" t="str">
        <f>"ITPN-207463"</f>
        <v>ITPN-207463</v>
      </c>
      <c r="I19" s="98"/>
      <c r="J19" s="98"/>
      <c r="K19" s="98"/>
      <c r="L19" s="98"/>
      <c r="M19" s="98"/>
    </row>
    <row r="20" spans="1:13" hidden="1" x14ac:dyDescent="0.25">
      <c r="A20" s="74" t="s">
        <v>173</v>
      </c>
      <c r="B20" s="76" t="str">
        <f t="shared" si="1"/>
        <v>Hide</v>
      </c>
      <c r="C20" s="74" t="str">
        <f>"""Ceres NTFB Live"",""NTFB Live"",""5766"",""1"",""Invt. Pick"",""2"",""ITPN-207464"""</f>
        <v>"Ceres NTFB Live","NTFB Live","5766","1","Invt. Pick","2","ITPN-207464"</v>
      </c>
      <c r="E20" s="74" t="str">
        <f>"A108259"</f>
        <v>A108259</v>
      </c>
      <c r="F20" s="74" t="str">
        <f>"ITPN-207464"</f>
        <v>ITPN-207464</v>
      </c>
      <c r="I20" s="98"/>
      <c r="J20" s="98"/>
      <c r="K20" s="98"/>
      <c r="L20" s="98"/>
      <c r="M20" s="98"/>
    </row>
    <row r="21" spans="1:13" hidden="1" x14ac:dyDescent="0.25">
      <c r="A21" s="74" t="s">
        <v>173</v>
      </c>
      <c r="B21" s="76" t="str">
        <f t="shared" si="1"/>
        <v>Hide</v>
      </c>
      <c r="C21" s="74" t="str">
        <f>"""Ceres NTFB Live"",""NTFB Live"",""5766"",""1"",""Invt. Pick"",""2"",""ITPN-207469"""</f>
        <v>"Ceres NTFB Live","NTFB Live","5766","1","Invt. Pick","2","ITPN-207469"</v>
      </c>
      <c r="E21" s="74" t="str">
        <f>"A108336"</f>
        <v>A108336</v>
      </c>
      <c r="F21" s="74" t="str">
        <f>"ITPN-207469"</f>
        <v>ITPN-207469</v>
      </c>
      <c r="I21" s="98"/>
      <c r="J21" s="98"/>
      <c r="K21" s="98"/>
      <c r="L21" s="98"/>
      <c r="M21" s="98"/>
    </row>
    <row r="22" spans="1:13" hidden="1" x14ac:dyDescent="0.25">
      <c r="A22" s="74" t="s">
        <v>173</v>
      </c>
      <c r="B22" s="76" t="str">
        <f t="shared" si="1"/>
        <v>Hide</v>
      </c>
      <c r="C22" s="74" t="str">
        <f>"""Ceres NTFB Live"",""NTFB Live"",""5766"",""1"",""Invt. Pick"",""2"",""ITPN-207503"""</f>
        <v>"Ceres NTFB Live","NTFB Live","5766","1","Invt. Pick","2","ITPN-207503"</v>
      </c>
      <c r="E22" s="74" t="str">
        <f>"A108418"</f>
        <v>A108418</v>
      </c>
      <c r="F22" s="74" t="str">
        <f>"ITPN-207503"</f>
        <v>ITPN-207503</v>
      </c>
      <c r="I22" s="98"/>
      <c r="J22" s="98"/>
      <c r="K22" s="98"/>
      <c r="L22" s="98"/>
      <c r="M22" s="98"/>
    </row>
    <row r="23" spans="1:13" hidden="1" x14ac:dyDescent="0.25">
      <c r="A23" s="74" t="s">
        <v>173</v>
      </c>
      <c r="B23" s="76" t="str">
        <f t="shared" si="1"/>
        <v>Hide</v>
      </c>
      <c r="C23" s="74" t="str">
        <f>"""Ceres NTFB Live"",""NTFB Live"",""5766"",""1"",""Invt. Pick"",""2"",""ITPN-207504"""</f>
        <v>"Ceres NTFB Live","NTFB Live","5766","1","Invt. Pick","2","ITPN-207504"</v>
      </c>
      <c r="E23" s="74" t="str">
        <f>"A108435"</f>
        <v>A108435</v>
      </c>
      <c r="F23" s="74" t="str">
        <f>"ITPN-207504"</f>
        <v>ITPN-207504</v>
      </c>
      <c r="I23" s="98"/>
      <c r="J23" s="98"/>
      <c r="K23" s="98"/>
      <c r="L23" s="98"/>
      <c r="M23" s="98"/>
    </row>
    <row r="24" spans="1:13" hidden="1" x14ac:dyDescent="0.25">
      <c r="A24" s="74" t="s">
        <v>6</v>
      </c>
      <c r="B24" s="76" t="str">
        <f t="shared" ref="B24:B34" si="2">B25</f>
        <v>Hide</v>
      </c>
      <c r="C24" s="74" t="s">
        <v>1334</v>
      </c>
      <c r="E24" s="74" t="str">
        <f>E12</f>
        <v>A107954</v>
      </c>
      <c r="F24" s="74" t="str">
        <f>F12</f>
        <v>ITPN-207433</v>
      </c>
      <c r="I24" s="98"/>
      <c r="J24" s="98"/>
      <c r="K24" s="98"/>
      <c r="L24" s="98"/>
      <c r="M24" s="98"/>
    </row>
    <row r="25" spans="1:13" hidden="1" x14ac:dyDescent="0.25">
      <c r="A25" s="74" t="s">
        <v>6</v>
      </c>
      <c r="B25" s="76" t="str">
        <f t="shared" si="2"/>
        <v>Hide</v>
      </c>
      <c r="E25" s="92" t="s">
        <v>1795</v>
      </c>
      <c r="F25" s="92" t="s">
        <v>1794</v>
      </c>
      <c r="I25" s="98"/>
      <c r="J25" s="98"/>
      <c r="K25" s="98"/>
      <c r="L25" s="98"/>
      <c r="M25" s="98"/>
    </row>
    <row r="26" spans="1:13" hidden="1" x14ac:dyDescent="0.25">
      <c r="B26" s="76" t="str">
        <f t="shared" si="2"/>
        <v>Hide</v>
      </c>
      <c r="E26" s="101" t="s">
        <v>20</v>
      </c>
      <c r="F26" s="184" t="s">
        <v>179</v>
      </c>
      <c r="G26" s="185"/>
      <c r="H26" s="185"/>
      <c r="I26" s="185"/>
      <c r="J26" s="185"/>
      <c r="K26" s="185"/>
      <c r="L26" s="185"/>
      <c r="M26" s="186"/>
    </row>
    <row r="27" spans="1:13" hidden="1" x14ac:dyDescent="0.25">
      <c r="B27" s="76" t="str">
        <f t="shared" si="2"/>
        <v>Hide</v>
      </c>
      <c r="F27" s="187"/>
      <c r="G27" s="188"/>
      <c r="H27" s="188"/>
      <c r="I27" s="188"/>
      <c r="J27" s="188"/>
      <c r="K27" s="188"/>
      <c r="L27" s="188"/>
      <c r="M27" s="189"/>
    </row>
    <row r="28" spans="1:13" ht="15.75" hidden="1" thickBot="1" x14ac:dyDescent="0.3">
      <c r="B28" s="76" t="str">
        <f t="shared" si="2"/>
        <v>Hide</v>
      </c>
      <c r="F28" s="190"/>
      <c r="G28" s="191"/>
      <c r="H28" s="191"/>
      <c r="I28" s="191"/>
      <c r="J28" s="191"/>
      <c r="K28" s="191"/>
      <c r="L28" s="191"/>
      <c r="M28" s="192"/>
    </row>
    <row r="29" spans="1:13" hidden="1" x14ac:dyDescent="0.25">
      <c r="B29" s="76" t="str">
        <f t="shared" si="2"/>
        <v>Hide</v>
      </c>
    </row>
    <row r="30" spans="1:13" hidden="1" x14ac:dyDescent="0.25">
      <c r="B30" s="76" t="str">
        <f t="shared" si="2"/>
        <v>Hide</v>
      </c>
      <c r="E30" s="101" t="s">
        <v>33</v>
      </c>
      <c r="F30" s="100"/>
      <c r="G30" s="102"/>
      <c r="H30" s="101" t="s">
        <v>53</v>
      </c>
      <c r="I30" s="100"/>
      <c r="J30" s="100"/>
      <c r="K30" s="100"/>
    </row>
    <row r="31" spans="1:13" hidden="1" x14ac:dyDescent="0.25">
      <c r="B31" s="76" t="str">
        <f t="shared" si="2"/>
        <v>Hide</v>
      </c>
      <c r="E31" s="101"/>
    </row>
    <row r="32" spans="1:13" hidden="1" x14ac:dyDescent="0.25">
      <c r="B32" s="76" t="str">
        <f t="shared" si="2"/>
        <v>Hide</v>
      </c>
      <c r="E32" s="101" t="s">
        <v>32</v>
      </c>
      <c r="F32" s="100"/>
      <c r="G32" s="102"/>
      <c r="H32" s="101" t="s">
        <v>54</v>
      </c>
      <c r="I32" s="100"/>
      <c r="J32" s="100"/>
      <c r="K32" s="100"/>
    </row>
    <row r="33" spans="1:17" hidden="1" x14ac:dyDescent="0.25">
      <c r="B33" s="76" t="str">
        <f t="shared" si="2"/>
        <v>Hide</v>
      </c>
      <c r="C33" s="74" t="s">
        <v>52</v>
      </c>
      <c r="D33" s="74" t="s">
        <v>52</v>
      </c>
      <c r="F33" s="99"/>
      <c r="I33" s="98"/>
      <c r="J33" s="98"/>
      <c r="K33" s="98"/>
      <c r="L33" s="98"/>
      <c r="M33" s="98"/>
    </row>
    <row r="34" spans="1:17" s="75" customFormat="1" ht="15.95" hidden="1" customHeight="1" x14ac:dyDescent="0.25">
      <c r="A34" s="97"/>
      <c r="B34" s="76" t="str">
        <f t="shared" si="2"/>
        <v>Hide</v>
      </c>
      <c r="C34" s="117" t="s">
        <v>59</v>
      </c>
      <c r="D34" s="94" t="s">
        <v>28</v>
      </c>
      <c r="E34" s="94" t="s">
        <v>26</v>
      </c>
      <c r="F34" s="94" t="s">
        <v>29</v>
      </c>
      <c r="G34" s="94" t="s">
        <v>57</v>
      </c>
      <c r="H34" s="94" t="s">
        <v>27</v>
      </c>
      <c r="I34" s="94" t="s">
        <v>25</v>
      </c>
      <c r="J34" s="94" t="s">
        <v>10</v>
      </c>
      <c r="K34" s="94" t="s">
        <v>24</v>
      </c>
      <c r="L34" s="95"/>
      <c r="M34" s="94" t="s">
        <v>31</v>
      </c>
      <c r="N34" s="93" t="s">
        <v>21</v>
      </c>
      <c r="O34" s="93" t="s">
        <v>22</v>
      </c>
      <c r="P34" s="93" t="s">
        <v>23</v>
      </c>
      <c r="Q34" s="93"/>
    </row>
    <row r="35" spans="1:17" ht="24.95" hidden="1" customHeight="1" x14ac:dyDescent="0.25">
      <c r="B35" s="92" t="str">
        <f>IF(I35="","Hide","Show")</f>
        <v>Hide</v>
      </c>
      <c r="C35" s="74" t="s">
        <v>179</v>
      </c>
      <c r="D35" s="89" t="s">
        <v>179</v>
      </c>
      <c r="E35" s="89" t="s">
        <v>179</v>
      </c>
      <c r="F35" s="89" t="s">
        <v>179</v>
      </c>
      <c r="G35" s="91" t="s">
        <v>180</v>
      </c>
      <c r="H35" s="90" t="s">
        <v>179</v>
      </c>
      <c r="I35" s="89" t="s">
        <v>179</v>
      </c>
      <c r="J35" s="89" t="s">
        <v>179</v>
      </c>
      <c r="K35" s="88"/>
      <c r="L35" s="87"/>
      <c r="M35" s="87"/>
      <c r="N35" s="85" t="s">
        <v>179</v>
      </c>
      <c r="O35" s="85" t="s">
        <v>179</v>
      </c>
      <c r="P35" s="85" t="s">
        <v>179</v>
      </c>
      <c r="Q35" s="86" t="s">
        <v>56</v>
      </c>
    </row>
    <row r="36" spans="1:17" hidden="1" x14ac:dyDescent="0.25">
      <c r="B36" s="74" t="str">
        <f>B35</f>
        <v>Hide</v>
      </c>
      <c r="H36" s="85"/>
      <c r="I36" s="85"/>
    </row>
    <row r="37" spans="1:17" ht="15.75" hidden="1" thickBot="1" x14ac:dyDescent="0.3">
      <c r="B37" s="74" t="str">
        <f>+B36</f>
        <v>Hide</v>
      </c>
      <c r="D37" s="193" t="str">
        <f>+"END OF "&amp;D2</f>
        <v>END OF ESTATES AT GRAND PRAIRIE INC.  (003549RA) - NO F4K</v>
      </c>
      <c r="E37" s="194"/>
      <c r="F37" s="194"/>
      <c r="G37" s="194"/>
      <c r="H37" s="194"/>
      <c r="I37" s="194"/>
      <c r="J37" s="194"/>
      <c r="K37" s="194"/>
      <c r="L37" s="194"/>
      <c r="M37" s="195"/>
    </row>
    <row r="38" spans="1:17" ht="15.75" thickBot="1" x14ac:dyDescent="0.3"/>
    <row r="39" spans="1:17" ht="80.099999999999994" customHeight="1" thickBot="1" x14ac:dyDescent="0.3">
      <c r="A39" s="76" t="s">
        <v>30</v>
      </c>
      <c r="D39" s="166" t="str">
        <f>+F6</f>
        <v>PICKUP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7" ht="36.75" x14ac:dyDescent="0.45">
      <c r="A40" s="76" t="s">
        <v>30</v>
      </c>
      <c r="D40" s="176" t="s">
        <v>12</v>
      </c>
      <c r="E40" s="177"/>
      <c r="F40" s="196" t="str">
        <f>+F4</f>
        <v>003549RA</v>
      </c>
      <c r="G40" s="196"/>
      <c r="H40" s="196"/>
      <c r="I40" s="196"/>
      <c r="J40" s="196"/>
      <c r="K40" s="196"/>
      <c r="L40" s="196"/>
      <c r="M40" s="197"/>
    </row>
    <row r="41" spans="1:17" ht="37.5" customHeight="1" thickBot="1" x14ac:dyDescent="0.5">
      <c r="A41" s="76" t="s">
        <v>30</v>
      </c>
      <c r="D41" s="158" t="s">
        <v>5</v>
      </c>
      <c r="E41" s="159"/>
      <c r="F41" s="161" t="str">
        <f>+F5</f>
        <v>ESTATES AT GRAND PRAIRIE INC.</v>
      </c>
      <c r="G41" s="161"/>
      <c r="H41" s="161"/>
      <c r="I41" s="161"/>
      <c r="J41" s="161"/>
      <c r="K41" s="161"/>
      <c r="L41" s="161"/>
      <c r="M41" s="162"/>
      <c r="N41" s="84"/>
      <c r="O41" s="84"/>
      <c r="P41" s="84"/>
    </row>
    <row r="42" spans="1:17" ht="33.75" hidden="1" thickBot="1" x14ac:dyDescent="0.45">
      <c r="A42" s="76" t="s">
        <v>19</v>
      </c>
      <c r="D42" s="172" t="s">
        <v>49</v>
      </c>
      <c r="E42" s="173"/>
      <c r="F42" s="82"/>
      <c r="G42" s="83"/>
      <c r="H42" s="82"/>
      <c r="I42" s="82"/>
      <c r="J42" s="82"/>
      <c r="K42" s="82"/>
      <c r="L42" s="82"/>
      <c r="M42" s="81"/>
    </row>
    <row r="43" spans="1:17" ht="30" hidden="1" customHeight="1" x14ac:dyDescent="0.25">
      <c r="A43" s="76" t="s">
        <v>19</v>
      </c>
      <c r="D43" s="80"/>
      <c r="E43" s="78"/>
      <c r="F43" s="174" t="s">
        <v>1334</v>
      </c>
      <c r="G43" s="174"/>
      <c r="H43" s="174"/>
      <c r="I43" s="174"/>
      <c r="J43" s="174"/>
      <c r="K43" s="174"/>
      <c r="L43" s="174"/>
      <c r="M43" s="175"/>
    </row>
    <row r="44" spans="1:17" ht="30" hidden="1" customHeight="1" x14ac:dyDescent="0.25">
      <c r="A44" s="76" t="s">
        <v>184</v>
      </c>
      <c r="D44" s="80"/>
      <c r="E44" s="78"/>
      <c r="F44" s="174" t="str">
        <f>"A108008"</f>
        <v>A108008</v>
      </c>
      <c r="G44" s="174"/>
      <c r="H44" s="174"/>
      <c r="I44" s="174"/>
      <c r="J44" s="174"/>
      <c r="K44" s="174"/>
      <c r="L44" s="174"/>
      <c r="M44" s="175"/>
    </row>
    <row r="45" spans="1:17" ht="30" hidden="1" customHeight="1" x14ac:dyDescent="0.25">
      <c r="A45" s="76" t="s">
        <v>184</v>
      </c>
      <c r="D45" s="80"/>
      <c r="E45" s="78"/>
      <c r="F45" s="174" t="str">
        <f>"A108230"</f>
        <v>A108230</v>
      </c>
      <c r="G45" s="174"/>
      <c r="H45" s="174"/>
      <c r="I45" s="174"/>
      <c r="J45" s="174"/>
      <c r="K45" s="174"/>
      <c r="L45" s="174"/>
      <c r="M45" s="175"/>
    </row>
    <row r="46" spans="1:17" ht="30" hidden="1" customHeight="1" x14ac:dyDescent="0.25">
      <c r="A46" s="76" t="s">
        <v>184</v>
      </c>
      <c r="D46" s="80"/>
      <c r="E46" s="78"/>
      <c r="F46" s="174" t="str">
        <f>"A108259"</f>
        <v>A108259</v>
      </c>
      <c r="G46" s="174"/>
      <c r="H46" s="174"/>
      <c r="I46" s="174"/>
      <c r="J46" s="174"/>
      <c r="K46" s="174"/>
      <c r="L46" s="174"/>
      <c r="M46" s="175"/>
    </row>
    <row r="47" spans="1:17" ht="30" hidden="1" customHeight="1" x14ac:dyDescent="0.25">
      <c r="A47" s="76" t="s">
        <v>184</v>
      </c>
      <c r="D47" s="80"/>
      <c r="E47" s="78"/>
      <c r="F47" s="174" t="str">
        <f>"A108336"</f>
        <v>A108336</v>
      </c>
      <c r="G47" s="174"/>
      <c r="H47" s="174"/>
      <c r="I47" s="174"/>
      <c r="J47" s="174"/>
      <c r="K47" s="174"/>
      <c r="L47" s="174"/>
      <c r="M47" s="175"/>
    </row>
    <row r="48" spans="1:17" ht="30" hidden="1" customHeight="1" x14ac:dyDescent="0.25">
      <c r="A48" s="76" t="s">
        <v>184</v>
      </c>
      <c r="D48" s="80"/>
      <c r="E48" s="78"/>
      <c r="F48" s="174" t="str">
        <f>"A108418"</f>
        <v>A108418</v>
      </c>
      <c r="G48" s="174"/>
      <c r="H48" s="174"/>
      <c r="I48" s="174"/>
      <c r="J48" s="174"/>
      <c r="K48" s="174"/>
      <c r="L48" s="174"/>
      <c r="M48" s="175"/>
    </row>
    <row r="49" spans="1:13" ht="30" hidden="1" customHeight="1" x14ac:dyDescent="0.25">
      <c r="A49" s="76" t="s">
        <v>184</v>
      </c>
      <c r="D49" s="80"/>
      <c r="E49" s="78"/>
      <c r="F49" s="174" t="str">
        <f>"A108435"</f>
        <v>A108435</v>
      </c>
      <c r="G49" s="174"/>
      <c r="H49" s="174"/>
      <c r="I49" s="174"/>
      <c r="J49" s="174"/>
      <c r="K49" s="174"/>
      <c r="L49" s="174"/>
      <c r="M49" s="175"/>
    </row>
    <row r="50" spans="1:13" ht="15.75" hidden="1" customHeight="1" thickBot="1" x14ac:dyDescent="0.3">
      <c r="A50" s="76" t="s">
        <v>19</v>
      </c>
      <c r="D50" s="80"/>
      <c r="E50" s="78"/>
      <c r="F50" s="78"/>
      <c r="G50" s="79"/>
      <c r="H50" s="78"/>
      <c r="I50" s="78"/>
      <c r="J50" s="78"/>
      <c r="K50" s="78"/>
      <c r="L50" s="78"/>
      <c r="M50" s="77"/>
    </row>
    <row r="51" spans="1:13" ht="36.75" x14ac:dyDescent="0.45">
      <c r="A51" s="76" t="s">
        <v>30</v>
      </c>
      <c r="D51" s="176" t="s">
        <v>50</v>
      </c>
      <c r="E51" s="177"/>
      <c r="F51" s="178">
        <f>+F7</f>
        <v>42612</v>
      </c>
      <c r="G51" s="179"/>
      <c r="H51" s="179"/>
      <c r="I51" s="179"/>
      <c r="J51" s="179"/>
      <c r="K51" s="179"/>
      <c r="L51" s="179"/>
      <c r="M51" s="180"/>
    </row>
    <row r="52" spans="1:13" ht="37.5" thickBot="1" x14ac:dyDescent="0.5">
      <c r="A52" s="76" t="s">
        <v>30</v>
      </c>
      <c r="D52" s="158" t="s">
        <v>32</v>
      </c>
      <c r="E52" s="159"/>
      <c r="F52" s="160"/>
      <c r="G52" s="161"/>
      <c r="H52" s="161"/>
      <c r="I52" s="161"/>
      <c r="J52" s="161"/>
      <c r="K52" s="161"/>
      <c r="L52" s="161"/>
      <c r="M52" s="162"/>
    </row>
    <row r="53" spans="1:13" ht="80.099999999999994" customHeight="1" thickBot="1" x14ac:dyDescent="0.3">
      <c r="A53" s="76" t="s">
        <v>30</v>
      </c>
      <c r="D53" s="163" t="s">
        <v>51</v>
      </c>
      <c r="E53" s="164"/>
      <c r="F53" s="164"/>
      <c r="G53" s="164"/>
      <c r="H53" s="164"/>
      <c r="I53" s="164"/>
      <c r="J53" s="164"/>
      <c r="K53" s="164"/>
      <c r="L53" s="164"/>
      <c r="M53" s="165"/>
    </row>
    <row r="54" spans="1:13" ht="90" customHeight="1" thickBot="1" x14ac:dyDescent="0.3">
      <c r="A54" s="76" t="s">
        <v>30</v>
      </c>
      <c r="D54" s="166" t="str">
        <f>IF(F6="DELIVER",G6,F6)</f>
        <v>PICKUP</v>
      </c>
      <c r="E54" s="167"/>
      <c r="F54" s="167"/>
      <c r="G54" s="167"/>
      <c r="H54" s="167"/>
      <c r="I54" s="167"/>
      <c r="J54" s="167"/>
      <c r="K54" s="167"/>
      <c r="L54" s="167"/>
      <c r="M54" s="168"/>
    </row>
    <row r="55" spans="1:13" ht="60" customHeight="1" thickBot="1" x14ac:dyDescent="0.3">
      <c r="A55" s="76" t="s">
        <v>30</v>
      </c>
      <c r="D55" s="169" t="s">
        <v>55</v>
      </c>
      <c r="E55" s="170"/>
      <c r="F55" s="170"/>
      <c r="G55" s="170"/>
      <c r="H55" s="170"/>
      <c r="I55" s="170"/>
      <c r="J55" s="170"/>
      <c r="K55" s="170"/>
      <c r="L55" s="170"/>
      <c r="M55" s="171"/>
    </row>
  </sheetData>
  <mergeCells count="23">
    <mergeCell ref="D2:M2"/>
    <mergeCell ref="F26:M28"/>
    <mergeCell ref="D37:M37"/>
    <mergeCell ref="D39:M39"/>
    <mergeCell ref="D40:E40"/>
    <mergeCell ref="F40:M40"/>
    <mergeCell ref="D41:E41"/>
    <mergeCell ref="F41:M41"/>
    <mergeCell ref="D42:E42"/>
    <mergeCell ref="F43:M43"/>
    <mergeCell ref="D51:E51"/>
    <mergeCell ref="F51:M51"/>
    <mergeCell ref="F49:M49"/>
    <mergeCell ref="F44:M44"/>
    <mergeCell ref="F45:M45"/>
    <mergeCell ref="F46:M46"/>
    <mergeCell ref="F47:M47"/>
    <mergeCell ref="F48:M48"/>
    <mergeCell ref="D52:E52"/>
    <mergeCell ref="F52:M52"/>
    <mergeCell ref="D53:M53"/>
    <mergeCell ref="D54:M54"/>
    <mergeCell ref="D55:M55"/>
  </mergeCells>
  <conditionalFormatting sqref="F6">
    <cfRule type="cellIs" dxfId="64" priority="5" operator="equal">
      <formula>"DELIVER"</formula>
    </cfRule>
  </conditionalFormatting>
  <conditionalFormatting sqref="D39">
    <cfRule type="cellIs" dxfId="63" priority="4" operator="equal">
      <formula>"DELIVER"</formula>
    </cfRule>
  </conditionalFormatting>
  <conditionalFormatting sqref="D2:M2">
    <cfRule type="expression" dxfId="62" priority="3">
      <formula>$F$6="DELIVER"</formula>
    </cfRule>
  </conditionalFormatting>
  <conditionalFormatting sqref="G6">
    <cfRule type="expression" dxfId="61" priority="2">
      <formula>$F$6="DELIVER"</formula>
    </cfRule>
  </conditionalFormatting>
  <conditionalFormatting sqref="D54">
    <cfRule type="expression" dxfId="6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7" max="16383" man="1"/>
  </rowBreaks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1768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FAMILY GATEWAY  (004052HSF)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"004052HSF"</f>
        <v>004052HSF</v>
      </c>
      <c r="E4" s="101" t="s">
        <v>37</v>
      </c>
      <c r="F4" s="105" t="str">
        <f>C4</f>
        <v>004052HSF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1354</v>
      </c>
      <c r="E5" s="101" t="s">
        <v>36</v>
      </c>
      <c r="F5" s="112" t="s">
        <v>1190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1355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A108339|A108339|A108339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ITPN-207473|ITPN-207474|ITPN-207473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1354</v>
      </c>
      <c r="E12" s="74" t="s">
        <v>1335</v>
      </c>
      <c r="F12" s="74" t="s">
        <v>1350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Pick"",""2"",""ITPN-207474"""</f>
        <v>"Ceres NTFB Live","NTFB Live","5766","1","Invt. Pick","2","ITPN-207474"</v>
      </c>
      <c r="E13" s="74" t="s">
        <v>1335</v>
      </c>
      <c r="F13" s="74" t="s">
        <v>1351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1335</v>
      </c>
      <c r="E14" s="74" t="str">
        <f>E12</f>
        <v>A108339</v>
      </c>
      <c r="F14" s="74" t="str">
        <f>F12</f>
        <v>ITPN-207473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1352</v>
      </c>
      <c r="F15" s="92" t="s">
        <v>1353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59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FAMILY GATEWAY  (004052HSF) - NO F4K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004052HSF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FAMILY GATEWAY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1335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59" priority="5" operator="equal">
      <formula>"DELIVER"</formula>
    </cfRule>
  </conditionalFormatting>
  <conditionalFormatting sqref="D29">
    <cfRule type="cellIs" dxfId="58" priority="4" operator="equal">
      <formula>"DELIVER"</formula>
    </cfRule>
  </conditionalFormatting>
  <conditionalFormatting sqref="D2:M2">
    <cfRule type="expression" dxfId="57" priority="3">
      <formula>$F$6="DELIVER"</formula>
    </cfRule>
  </conditionalFormatting>
  <conditionalFormatting sqref="G6">
    <cfRule type="expression" dxfId="56" priority="2">
      <formula>$F$6="DELIVER"</formula>
    </cfRule>
  </conditionalFormatting>
  <conditionalFormatting sqref="D38">
    <cfRule type="expression" dxfId="5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1770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RICHARDSON EAST COC  (008146P)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"008146P"</f>
        <v>008146P</v>
      </c>
      <c r="E4" s="101" t="s">
        <v>37</v>
      </c>
      <c r="F4" s="105" t="str">
        <f>C4</f>
        <v>008146P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1360</v>
      </c>
      <c r="E5" s="101" t="s">
        <v>36</v>
      </c>
      <c r="F5" s="112" t="s">
        <v>1181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1361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A108337|A108337|A108337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ITPN-207470|ITPN-207471|ITPN-207470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1360</v>
      </c>
      <c r="E12" s="74" t="s">
        <v>1357</v>
      </c>
      <c r="F12" s="74" t="s">
        <v>1358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Pick"",""2"",""ITPN-207471"""</f>
        <v>"Ceres NTFB Live","NTFB Live","5766","1","Invt. Pick","2","ITPN-207471"</v>
      </c>
      <c r="E13" s="74" t="s">
        <v>1357</v>
      </c>
      <c r="F13" s="74" t="s">
        <v>1359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1357</v>
      </c>
      <c r="E14" s="74" t="str">
        <f>E12</f>
        <v>A108337</v>
      </c>
      <c r="F14" s="74" t="str">
        <f>F12</f>
        <v>ITPN-207470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1792</v>
      </c>
      <c r="F15" s="92" t="s">
        <v>1793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59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RICHARDSON EAST COC  (008146P) - NO F4K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008146P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RICHARDSON EAST COC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1357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COLLIN 3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54" priority="5" operator="equal">
      <formula>"DELIVER"</formula>
    </cfRule>
  </conditionalFormatting>
  <conditionalFormatting sqref="D29">
    <cfRule type="cellIs" dxfId="53" priority="4" operator="equal">
      <formula>"DELIVER"</formula>
    </cfRule>
  </conditionalFormatting>
  <conditionalFormatting sqref="D2:M2">
    <cfRule type="expression" dxfId="52" priority="3">
      <formula>$F$6="DELIVER"</formula>
    </cfRule>
  </conditionalFormatting>
  <conditionalFormatting sqref="G6">
    <cfRule type="expression" dxfId="51" priority="2">
      <formula>$F$6="DELIVER"</formula>
    </cfRule>
  </conditionalFormatting>
  <conditionalFormatting sqref="D38">
    <cfRule type="expression" dxfId="5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1564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/>
      </c>
      <c r="C2" s="74" t="s">
        <v>7</v>
      </c>
      <c r="D2" s="181" t="str">
        <f>IF(E25="",F5&amp;"  ("&amp;F4&amp;") - NO "&amp;C24,F5&amp;"  ("&amp;F4&amp;") - "&amp;C24&amp;" PICK LIST")</f>
        <v>NORTH DALLAS SHARED MINISTRIES  (002218P) - DRY|DRYUSDA|MCTF PICK LIST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Show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customHeight="1" x14ac:dyDescent="0.25">
      <c r="B4" s="76" t="str">
        <f t="shared" si="0"/>
        <v>Show</v>
      </c>
      <c r="C4" s="113" t="str">
        <f>"002218P"</f>
        <v>002218P</v>
      </c>
      <c r="E4" s="101" t="s">
        <v>37</v>
      </c>
      <c r="F4" s="105" t="str">
        <f>C4</f>
        <v>002218P</v>
      </c>
      <c r="K4" s="101" t="s">
        <v>42</v>
      </c>
      <c r="L4" s="104"/>
      <c r="M4" s="111">
        <f>SUM(I25:I36)</f>
        <v>178</v>
      </c>
    </row>
    <row r="5" spans="1:26" ht="18" customHeight="1" x14ac:dyDescent="0.25">
      <c r="B5" s="76" t="str">
        <f t="shared" si="0"/>
        <v>Show</v>
      </c>
      <c r="C5" s="109" t="s">
        <v>1263</v>
      </c>
      <c r="E5" s="101" t="s">
        <v>36</v>
      </c>
      <c r="F5" s="112" t="s">
        <v>1183</v>
      </c>
      <c r="K5" s="101" t="s">
        <v>43</v>
      </c>
      <c r="L5" s="104"/>
      <c r="M5" s="111">
        <f>ROUND(SUM(O25:O36),0)</f>
        <v>3050</v>
      </c>
    </row>
    <row r="6" spans="1:26" ht="18" customHeight="1" x14ac:dyDescent="0.25">
      <c r="B6" s="76" t="str">
        <f t="shared" si="0"/>
        <v>Show</v>
      </c>
      <c r="C6" s="109" t="s">
        <v>1264</v>
      </c>
      <c r="E6" s="101" t="s">
        <v>38</v>
      </c>
      <c r="F6" s="105" t="s">
        <v>60</v>
      </c>
      <c r="G6" s="110" t="s">
        <v>1200</v>
      </c>
      <c r="I6" s="109"/>
      <c r="J6" s="109"/>
      <c r="K6" s="108" t="s">
        <v>58</v>
      </c>
      <c r="L6" s="108"/>
      <c r="M6" s="107">
        <f>ROUND(COUNT(O25:O36),0)</f>
        <v>11</v>
      </c>
      <c r="P6" s="101"/>
      <c r="W6" s="101" t="str">
        <f>"ESTIMATED "&amp;O24&amp;" PALLETS:"</f>
        <v>ESTIMATED LBS PALLETS:</v>
      </c>
    </row>
    <row r="7" spans="1:26" ht="18" customHeight="1" thickBot="1" x14ac:dyDescent="0.3">
      <c r="B7" s="76" t="str">
        <f t="shared" si="0"/>
        <v>Show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Show</v>
      </c>
      <c r="E8" s="101" t="s">
        <v>40</v>
      </c>
      <c r="F8" s="105" t="str">
        <f>E15</f>
        <v>A107923|A108183|A107923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Show</v>
      </c>
      <c r="E9" s="101" t="s">
        <v>41</v>
      </c>
      <c r="F9" s="105" t="str">
        <f>F15</f>
        <v>ITPN-207432|ITPN-207448|ITPN-207432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Show</v>
      </c>
    </row>
    <row r="11" spans="1:26" ht="15.75" hidden="1" customHeight="1" x14ac:dyDescent="0.25">
      <c r="A11" s="74" t="s">
        <v>6</v>
      </c>
      <c r="B11" s="76" t="str">
        <f t="shared" si="0"/>
        <v>Show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t="15.75" hidden="1" thickBot="1" x14ac:dyDescent="0.3">
      <c r="A12" s="74" t="s">
        <v>6</v>
      </c>
      <c r="B12" s="76" t="str">
        <f>B14</f>
        <v>Show</v>
      </c>
      <c r="C12" s="74" t="s">
        <v>1265</v>
      </c>
      <c r="E12" s="74" t="s">
        <v>1257</v>
      </c>
      <c r="F12" s="74" t="s">
        <v>1258</v>
      </c>
      <c r="I12" s="98"/>
      <c r="J12" s="98"/>
      <c r="K12" s="98"/>
      <c r="L12" s="98"/>
      <c r="M12" s="98"/>
    </row>
    <row r="13" spans="1:26" ht="15.75" hidden="1" thickBot="1" x14ac:dyDescent="0.3">
      <c r="A13" s="74" t="s">
        <v>173</v>
      </c>
      <c r="B13" s="76" t="str">
        <f>B15</f>
        <v>Show</v>
      </c>
      <c r="C13" s="74" t="str">
        <f>"""Ceres NTFB Live"",""NTFB Live"",""5766"",""1"",""Invt. Pick"",""2"",""ITPN-207448"""</f>
        <v>"Ceres NTFB Live","NTFB Live","5766","1","Invt. Pick","2","ITPN-207448"</v>
      </c>
      <c r="E13" s="74" t="s">
        <v>1259</v>
      </c>
      <c r="F13" s="74" t="s">
        <v>1260</v>
      </c>
      <c r="I13" s="98"/>
      <c r="J13" s="98"/>
      <c r="K13" s="98"/>
      <c r="L13" s="98"/>
      <c r="M13" s="98"/>
    </row>
    <row r="14" spans="1:26" ht="15.75" hidden="1" thickBot="1" x14ac:dyDescent="0.3">
      <c r="A14" s="74" t="s">
        <v>6</v>
      </c>
      <c r="B14" s="76" t="str">
        <f t="shared" ref="B14:B24" si="1">B15</f>
        <v>Show</v>
      </c>
      <c r="C14" s="74" t="s">
        <v>1257</v>
      </c>
      <c r="E14" s="74" t="str">
        <f>E12</f>
        <v>A107923</v>
      </c>
      <c r="F14" s="74" t="str">
        <f>F12</f>
        <v>ITPN-207432</v>
      </c>
      <c r="I14" s="98"/>
      <c r="J14" s="98"/>
      <c r="K14" s="98"/>
      <c r="L14" s="98"/>
      <c r="M14" s="98"/>
    </row>
    <row r="15" spans="1:26" ht="15.75" hidden="1" thickBot="1" x14ac:dyDescent="0.3">
      <c r="A15" s="74" t="s">
        <v>6</v>
      </c>
      <c r="B15" s="76" t="str">
        <f t="shared" si="1"/>
        <v>Show</v>
      </c>
      <c r="E15" s="92" t="s">
        <v>1261</v>
      </c>
      <c r="F15" s="92" t="s">
        <v>1262</v>
      </c>
      <c r="I15" s="98"/>
      <c r="J15" s="98"/>
      <c r="K15" s="98"/>
      <c r="L15" s="98"/>
      <c r="M15" s="98"/>
    </row>
    <row r="16" spans="1:26" x14ac:dyDescent="0.25">
      <c r="B16" s="76" t="str">
        <f t="shared" si="1"/>
        <v>Show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x14ac:dyDescent="0.25">
      <c r="B17" s="76" t="str">
        <f t="shared" si="1"/>
        <v>Show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thickBot="1" x14ac:dyDescent="0.3">
      <c r="B18" s="76" t="str">
        <f t="shared" si="1"/>
        <v>Show</v>
      </c>
      <c r="F18" s="190"/>
      <c r="G18" s="191"/>
      <c r="H18" s="191"/>
      <c r="I18" s="191"/>
      <c r="J18" s="191"/>
      <c r="K18" s="191"/>
      <c r="L18" s="191"/>
      <c r="M18" s="192"/>
    </row>
    <row r="19" spans="1:17" x14ac:dyDescent="0.25">
      <c r="B19" s="76" t="str">
        <f t="shared" si="1"/>
        <v>Show</v>
      </c>
    </row>
    <row r="20" spans="1:17" x14ac:dyDescent="0.25">
      <c r="B20" s="76" t="str">
        <f t="shared" si="1"/>
        <v>Show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x14ac:dyDescent="0.25">
      <c r="B21" s="76" t="str">
        <f t="shared" si="1"/>
        <v>Show</v>
      </c>
      <c r="E21" s="101"/>
    </row>
    <row r="22" spans="1:17" x14ac:dyDescent="0.25">
      <c r="B22" s="76" t="str">
        <f t="shared" si="1"/>
        <v>Show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x14ac:dyDescent="0.25">
      <c r="B23" s="76" t="str">
        <f t="shared" si="1"/>
        <v>Show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customHeight="1" x14ac:dyDescent="0.25">
      <c r="A24" s="97"/>
      <c r="B24" s="76" t="str">
        <f t="shared" si="1"/>
        <v>Show</v>
      </c>
      <c r="C24" s="96" t="s">
        <v>79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customHeight="1" x14ac:dyDescent="0.25">
      <c r="B25" s="92" t="str">
        <f>IF(I25="","Hide","Show")</f>
        <v>Show</v>
      </c>
      <c r="C25" s="74" t="s">
        <v>1267</v>
      </c>
      <c r="D25" s="89" t="str">
        <f>"02-16-01"</f>
        <v>02-16-01</v>
      </c>
      <c r="E25" s="89" t="str">
        <f>"P00188215"</f>
        <v>P00188215</v>
      </c>
      <c r="F25" s="89" t="str">
        <f>"1000003540"</f>
        <v>1000003540</v>
      </c>
      <c r="G25" s="91" t="s">
        <v>1266</v>
      </c>
      <c r="H25" s="90" t="str">
        <f>"JUICE, V8 FUSION, MANDARIN ORANGE KIWI"</f>
        <v>JUICE, V8 FUSION, MANDARIN ORANGE KIWI</v>
      </c>
      <c r="I25" s="89">
        <v>2</v>
      </c>
      <c r="J25" s="89" t="str">
        <f t="shared" ref="J25:J35" si="2">"CS"</f>
        <v>CS</v>
      </c>
      <c r="K25" s="88"/>
      <c r="L25" s="87"/>
      <c r="M25" s="87"/>
      <c r="N25" s="85" t="s">
        <v>179</v>
      </c>
      <c r="O25" s="85">
        <v>40</v>
      </c>
      <c r="P25" s="85" t="str">
        <f t="shared" ref="P25:P35" si="3">"DRY"</f>
        <v>DRY</v>
      </c>
      <c r="Q25" s="86" t="s">
        <v>56</v>
      </c>
    </row>
    <row r="26" spans="1:17" ht="24.95" customHeight="1" x14ac:dyDescent="0.25">
      <c r="A26" s="74" t="s">
        <v>174</v>
      </c>
      <c r="B26" s="92" t="str">
        <f t="shared" ref="B26:B35" si="4">IF(I26="","Hide","Show")</f>
        <v>Show</v>
      </c>
      <c r="C26" s="74" t="str">
        <f>"""Ceres NTFB Live"",""NTFB Live"",""5767"",""1"",""Invt. Pick"",""2"",""ITPN-207448"",""3"",""81000"""</f>
        <v>"Ceres NTFB Live","NTFB Live","5767","1","Invt. Pick","2","ITPN-207448","3","81000"</v>
      </c>
      <c r="D26" s="89" t="str">
        <f>"02-29-01"</f>
        <v>02-29-01</v>
      </c>
      <c r="E26" s="89" t="str">
        <f>"P00180211"</f>
        <v>P00180211</v>
      </c>
      <c r="F26" s="89" t="str">
        <f>"1000003363"</f>
        <v>1000003363</v>
      </c>
      <c r="G26" s="91" t="s">
        <v>1266</v>
      </c>
      <c r="H26" s="90" t="str">
        <f>"BROTH, SWANSON CHICKEN"</f>
        <v>BROTH, SWANSON CHICKEN</v>
      </c>
      <c r="I26" s="89">
        <v>15</v>
      </c>
      <c r="J26" s="89" t="str">
        <f t="shared" si="2"/>
        <v>CS</v>
      </c>
      <c r="K26" s="88"/>
      <c r="L26" s="87"/>
      <c r="M26" s="87"/>
      <c r="N26" s="85" t="s">
        <v>179</v>
      </c>
      <c r="O26" s="85">
        <v>195</v>
      </c>
      <c r="P26" s="85" t="str">
        <f t="shared" si="3"/>
        <v>DRY</v>
      </c>
      <c r="Q26" s="86" t="s">
        <v>56</v>
      </c>
    </row>
    <row r="27" spans="1:17" ht="24.95" customHeight="1" x14ac:dyDescent="0.25">
      <c r="A27" s="74" t="s">
        <v>174</v>
      </c>
      <c r="B27" s="92" t="str">
        <f t="shared" si="4"/>
        <v>Show</v>
      </c>
      <c r="C27" s="74" t="str">
        <f>"""Ceres NTFB Live"",""NTFB Live"",""5767"",""1"",""Invt. Pick"",""2"",""ITPN-207448"",""3"",""61000"""</f>
        <v>"Ceres NTFB Live","NTFB Live","5767","1","Invt. Pick","2","ITPN-207448","3","61000"</v>
      </c>
      <c r="D27" s="89" t="str">
        <f>"02-33-01"</f>
        <v>02-33-01</v>
      </c>
      <c r="E27" s="89" t="str">
        <f>"P00180210"</f>
        <v>P00180210</v>
      </c>
      <c r="F27" s="89" t="str">
        <f>"1000003363"</f>
        <v>1000003363</v>
      </c>
      <c r="G27" s="91" t="s">
        <v>1266</v>
      </c>
      <c r="H27" s="90" t="str">
        <f>"BROTH, SWANSON CHICKEN"</f>
        <v>BROTH, SWANSON CHICKEN</v>
      </c>
      <c r="I27" s="89">
        <v>5</v>
      </c>
      <c r="J27" s="89" t="str">
        <f t="shared" si="2"/>
        <v>CS</v>
      </c>
      <c r="K27" s="88"/>
      <c r="L27" s="87"/>
      <c r="M27" s="87"/>
      <c r="N27" s="85" t="s">
        <v>179</v>
      </c>
      <c r="O27" s="85">
        <v>65</v>
      </c>
      <c r="P27" s="85" t="str">
        <f t="shared" si="3"/>
        <v>DRY</v>
      </c>
      <c r="Q27" s="86" t="s">
        <v>56</v>
      </c>
    </row>
    <row r="28" spans="1:17" ht="24.95" customHeight="1" x14ac:dyDescent="0.25">
      <c r="A28" s="74" t="s">
        <v>174</v>
      </c>
      <c r="B28" s="92" t="str">
        <f t="shared" si="4"/>
        <v>Show</v>
      </c>
      <c r="C28" s="74" t="str">
        <f>"""Ceres NTFB Live"",""NTFB Live"",""5767"",""1"",""Invt. Pick"",""2"",""ITPN-207448"",""3"",""31000"""</f>
        <v>"Ceres NTFB Live","NTFB Live","5767","1","Invt. Pick","2","ITPN-207448","3","31000"</v>
      </c>
      <c r="D28" s="89" t="str">
        <f>"03-01-01"</f>
        <v>03-01-01</v>
      </c>
      <c r="E28" s="89" t="str">
        <f>"P00192615"</f>
        <v>P00192615</v>
      </c>
      <c r="F28" s="89" t="str">
        <f>"1000000505"</f>
        <v>1000000505</v>
      </c>
      <c r="G28" s="91" t="s">
        <v>1266</v>
      </c>
      <c r="H28" s="90" t="str">
        <f>"CONDIMENTS, ASSORTED BOTTLES"</f>
        <v>CONDIMENTS, ASSORTED BOTTLES</v>
      </c>
      <c r="I28" s="89">
        <v>6</v>
      </c>
      <c r="J28" s="89" t="str">
        <f t="shared" si="2"/>
        <v>CS</v>
      </c>
      <c r="K28" s="88"/>
      <c r="L28" s="87"/>
      <c r="M28" s="87"/>
      <c r="N28" s="85" t="s">
        <v>179</v>
      </c>
      <c r="O28" s="85">
        <v>120</v>
      </c>
      <c r="P28" s="85" t="str">
        <f t="shared" si="3"/>
        <v>DRY</v>
      </c>
      <c r="Q28" s="86" t="s">
        <v>56</v>
      </c>
    </row>
    <row r="29" spans="1:17" ht="24.95" customHeight="1" x14ac:dyDescent="0.25">
      <c r="A29" s="74" t="s">
        <v>174</v>
      </c>
      <c r="B29" s="92" t="str">
        <f t="shared" si="4"/>
        <v>Show</v>
      </c>
      <c r="C29" s="74" t="str">
        <f>"""Ceres NTFB Live"",""NTFB Live"",""5767"",""1"",""Invt. Pick"",""2"",""ITPN-207448"",""3"",""41000"""</f>
        <v>"Ceres NTFB Live","NTFB Live","5767","1","Invt. Pick","2","ITPN-207448","3","41000"</v>
      </c>
      <c r="D29" s="89" t="str">
        <f>"03-03-01"</f>
        <v>03-03-01</v>
      </c>
      <c r="E29" s="89" t="str">
        <f>"P00193157"</f>
        <v>P00193157</v>
      </c>
      <c r="F29" s="89" t="str">
        <f>"1000000505"</f>
        <v>1000000505</v>
      </c>
      <c r="G29" s="91" t="s">
        <v>1266</v>
      </c>
      <c r="H29" s="90" t="str">
        <f>"CONDIMENTS, ASSORTED BOTTLES"</f>
        <v>CONDIMENTS, ASSORTED BOTTLES</v>
      </c>
      <c r="I29" s="89">
        <v>1</v>
      </c>
      <c r="J29" s="89" t="str">
        <f t="shared" si="2"/>
        <v>CS</v>
      </c>
      <c r="K29" s="88"/>
      <c r="L29" s="87"/>
      <c r="M29" s="87"/>
      <c r="N29" s="85" t="s">
        <v>179</v>
      </c>
      <c r="O29" s="85">
        <v>20</v>
      </c>
      <c r="P29" s="85" t="str">
        <f t="shared" si="3"/>
        <v>DRY</v>
      </c>
      <c r="Q29" s="86" t="s">
        <v>56</v>
      </c>
    </row>
    <row r="30" spans="1:17" ht="24.95" customHeight="1" x14ac:dyDescent="0.25">
      <c r="A30" s="74" t="s">
        <v>174</v>
      </c>
      <c r="B30" s="92" t="str">
        <f t="shared" si="4"/>
        <v>Show</v>
      </c>
      <c r="C30" s="74" t="str">
        <f>"""Ceres NTFB Live"",""NTFB Live"",""5767"",""1"",""Invt. Pick"",""2"",""ITPN-207448"",""3"",""141000"""</f>
        <v>"Ceres NTFB Live","NTFB Live","5767","1","Invt. Pick","2","ITPN-207448","3","141000"</v>
      </c>
      <c r="D30" s="89" t="str">
        <f>"04-01-01"</f>
        <v>04-01-01</v>
      </c>
      <c r="E30" s="89" t="str">
        <f>"P00194582"</f>
        <v>P00194582</v>
      </c>
      <c r="F30" s="89" t="str">
        <f>"1000000507"</f>
        <v>1000000507</v>
      </c>
      <c r="G30" s="91" t="s">
        <v>1266</v>
      </c>
      <c r="H30" s="90" t="str">
        <f>"PASTA, ASSORTED PACKAGES"</f>
        <v>PASTA, ASSORTED PACKAGES</v>
      </c>
      <c r="I30" s="89">
        <v>60</v>
      </c>
      <c r="J30" s="89" t="str">
        <f t="shared" si="2"/>
        <v>CS</v>
      </c>
      <c r="K30" s="88"/>
      <c r="L30" s="87"/>
      <c r="M30" s="87"/>
      <c r="N30" s="85" t="s">
        <v>179</v>
      </c>
      <c r="O30" s="85">
        <v>1080</v>
      </c>
      <c r="P30" s="85" t="str">
        <f t="shared" si="3"/>
        <v>DRY</v>
      </c>
      <c r="Q30" s="86" t="s">
        <v>56</v>
      </c>
    </row>
    <row r="31" spans="1:17" ht="24.95" customHeight="1" x14ac:dyDescent="0.25">
      <c r="A31" s="74" t="s">
        <v>174</v>
      </c>
      <c r="B31" s="92" t="str">
        <f t="shared" si="4"/>
        <v>Show</v>
      </c>
      <c r="C31" s="74" t="str">
        <f>"""Ceres NTFB Live"",""NTFB Live"",""5767"",""1"",""Invt. Pick"",""2"",""ITPN-207448"",""3"",""161000"""</f>
        <v>"Ceres NTFB Live","NTFB Live","5767","1","Invt. Pick","2","ITPN-207448","3","161000"</v>
      </c>
      <c r="D31" s="89" t="str">
        <f>"04-09-01"</f>
        <v>04-09-01</v>
      </c>
      <c r="E31" s="89" t="str">
        <f>"P00194581"</f>
        <v>P00194581</v>
      </c>
      <c r="F31" s="89" t="str">
        <f>"1000000507"</f>
        <v>1000000507</v>
      </c>
      <c r="G31" s="91" t="s">
        <v>1266</v>
      </c>
      <c r="H31" s="90" t="str">
        <f>"PASTA, ASSORTED PACKAGES"</f>
        <v>PASTA, ASSORTED PACKAGES</v>
      </c>
      <c r="I31" s="89">
        <v>60</v>
      </c>
      <c r="J31" s="89" t="str">
        <f t="shared" si="2"/>
        <v>CS</v>
      </c>
      <c r="K31" s="88"/>
      <c r="L31" s="87"/>
      <c r="M31" s="87"/>
      <c r="N31" s="85" t="s">
        <v>179</v>
      </c>
      <c r="O31" s="85">
        <v>1080</v>
      </c>
      <c r="P31" s="85" t="str">
        <f t="shared" si="3"/>
        <v>DRY</v>
      </c>
      <c r="Q31" s="86" t="s">
        <v>56</v>
      </c>
    </row>
    <row r="32" spans="1:17" ht="24.95" customHeight="1" x14ac:dyDescent="0.25">
      <c r="A32" s="74" t="s">
        <v>174</v>
      </c>
      <c r="B32" s="92" t="str">
        <f t="shared" si="4"/>
        <v>Show</v>
      </c>
      <c r="C32" s="74" t="str">
        <f>"""Ceres NTFB Live"",""NTFB Live"",""5767"",""1"",""Invt. Pick"",""2"",""ITPN-207448"",""3"",""40000"""</f>
        <v>"Ceres NTFB Live","NTFB Live","5767","1","Invt. Pick","2","ITPN-207448","3","40000"</v>
      </c>
      <c r="D32" s="89" t="str">
        <f>"04-34-01"</f>
        <v>04-34-01</v>
      </c>
      <c r="E32" s="89" t="str">
        <f>"P00190472"</f>
        <v>P00190472</v>
      </c>
      <c r="F32" s="89" t="str">
        <f>"1000000815"</f>
        <v>1000000815</v>
      </c>
      <c r="G32" s="91" t="s">
        <v>1266</v>
      </c>
      <c r="H32" s="90" t="str">
        <f>"ASSORTED FOOD (DRY) - ASFODNO - 15#"</f>
        <v>ASSORTED FOOD (DRY) - ASFODNO - 15#</v>
      </c>
      <c r="I32" s="89">
        <v>10</v>
      </c>
      <c r="J32" s="89" t="str">
        <f t="shared" si="2"/>
        <v>CS</v>
      </c>
      <c r="K32" s="88"/>
      <c r="L32" s="87"/>
      <c r="M32" s="87"/>
      <c r="N32" s="85" t="s">
        <v>179</v>
      </c>
      <c r="O32" s="85">
        <v>150</v>
      </c>
      <c r="P32" s="85" t="str">
        <f t="shared" si="3"/>
        <v>DRY</v>
      </c>
      <c r="Q32" s="86" t="s">
        <v>56</v>
      </c>
    </row>
    <row r="33" spans="1:17" ht="24.95" customHeight="1" x14ac:dyDescent="0.25">
      <c r="A33" s="74" t="s">
        <v>174</v>
      </c>
      <c r="B33" s="92" t="str">
        <f t="shared" si="4"/>
        <v>Show</v>
      </c>
      <c r="C33" s="74" t="str">
        <f>"""Ceres NTFB Live"",""NTFB Live"",""5767"",""1"",""Invt. Pick"",""2"",""ITPN-207448"",""3"",""51000"""</f>
        <v>"Ceres NTFB Live","NTFB Live","5767","1","Invt. Pick","2","ITPN-207448","3","51000"</v>
      </c>
      <c r="D33" s="89" t="str">
        <f>"05-10-01"</f>
        <v>05-10-01</v>
      </c>
      <c r="E33" s="89" t="str">
        <f>"P00193304"</f>
        <v>P00193304</v>
      </c>
      <c r="F33" s="89" t="str">
        <f>"1000000505"</f>
        <v>1000000505</v>
      </c>
      <c r="G33" s="91" t="s">
        <v>1266</v>
      </c>
      <c r="H33" s="90" t="str">
        <f>"CONDIMENTS, ASSORTED BOTTLES"</f>
        <v>CONDIMENTS, ASSORTED BOTTLES</v>
      </c>
      <c r="I33" s="89">
        <v>3</v>
      </c>
      <c r="J33" s="89" t="str">
        <f t="shared" si="2"/>
        <v>CS</v>
      </c>
      <c r="K33" s="88"/>
      <c r="L33" s="87"/>
      <c r="M33" s="87"/>
      <c r="N33" s="85" t="s">
        <v>179</v>
      </c>
      <c r="O33" s="85">
        <v>60</v>
      </c>
      <c r="P33" s="85" t="str">
        <f t="shared" si="3"/>
        <v>DRY</v>
      </c>
      <c r="Q33" s="86" t="s">
        <v>56</v>
      </c>
    </row>
    <row r="34" spans="1:17" ht="24.95" customHeight="1" x14ac:dyDescent="0.25">
      <c r="A34" s="74" t="s">
        <v>174</v>
      </c>
      <c r="B34" s="92" t="str">
        <f t="shared" si="4"/>
        <v>Show</v>
      </c>
      <c r="C34" s="74" t="str">
        <f>"""Ceres NTFB Live"",""NTFB Live"",""5767"",""1"",""Invt. Pick"",""2"",""ITPN-207448"",""3"",""111000"""</f>
        <v>"Ceres NTFB Live","NTFB Live","5767","1","Invt. Pick","2","ITPN-207448","3","111000"</v>
      </c>
      <c r="D34" s="89" t="str">
        <f>"06-30-01"</f>
        <v>06-30-01</v>
      </c>
      <c r="E34" s="89" t="str">
        <f>"P00194649"</f>
        <v>P00194649</v>
      </c>
      <c r="F34" s="89" t="str">
        <f>"1000000429"</f>
        <v>1000000429</v>
      </c>
      <c r="G34" s="91" t="s">
        <v>1266</v>
      </c>
      <c r="H34" s="90" t="str">
        <f>"USDA CEREAL, CORNFLAKES (449)"</f>
        <v>USDA CEREAL, CORNFLAKES (449)</v>
      </c>
      <c r="I34" s="89">
        <v>14</v>
      </c>
      <c r="J34" s="89" t="str">
        <f t="shared" si="2"/>
        <v>CS</v>
      </c>
      <c r="K34" s="88"/>
      <c r="L34" s="87"/>
      <c r="M34" s="87"/>
      <c r="N34" s="85" t="s">
        <v>179</v>
      </c>
      <c r="O34" s="85">
        <v>210</v>
      </c>
      <c r="P34" s="85" t="str">
        <f t="shared" si="3"/>
        <v>DRY</v>
      </c>
      <c r="Q34" s="86" t="s">
        <v>56</v>
      </c>
    </row>
    <row r="35" spans="1:17" ht="24.95" customHeight="1" x14ac:dyDescent="0.25">
      <c r="A35" s="74" t="s">
        <v>174</v>
      </c>
      <c r="B35" s="92" t="str">
        <f t="shared" si="4"/>
        <v>Show</v>
      </c>
      <c r="C35" s="74" t="str">
        <f>"""Ceres NTFB Live"",""NTFB Live"",""5767"",""1"",""Invt. Pick"",""2"",""ITPN-207448"",""3"",""91000"""</f>
        <v>"Ceres NTFB Live","NTFB Live","5767","1","Invt. Pick","2","ITPN-207448","3","91000"</v>
      </c>
      <c r="D35" s="89" t="str">
        <f>"06-35-01"</f>
        <v>06-35-01</v>
      </c>
      <c r="E35" s="89" t="str">
        <f>"P00194648"</f>
        <v>P00194648</v>
      </c>
      <c r="F35" s="89" t="str">
        <f>"1000000429"</f>
        <v>1000000429</v>
      </c>
      <c r="G35" s="91" t="s">
        <v>1266</v>
      </c>
      <c r="H35" s="90" t="str">
        <f>"USDA CEREAL, CORNFLAKES (449)"</f>
        <v>USDA CEREAL, CORNFLAKES (449)</v>
      </c>
      <c r="I35" s="89">
        <v>2</v>
      </c>
      <c r="J35" s="89" t="str">
        <f t="shared" si="2"/>
        <v>CS</v>
      </c>
      <c r="K35" s="88"/>
      <c r="L35" s="87"/>
      <c r="M35" s="87"/>
      <c r="N35" s="85" t="s">
        <v>179</v>
      </c>
      <c r="O35" s="85">
        <v>30</v>
      </c>
      <c r="P35" s="85" t="str">
        <f t="shared" si="3"/>
        <v>DRY</v>
      </c>
      <c r="Q35" s="86" t="s">
        <v>56</v>
      </c>
    </row>
    <row r="36" spans="1:17" ht="15.75" thickBot="1" x14ac:dyDescent="0.3">
      <c r="B36" s="74" t="str">
        <f>B25</f>
        <v>Show</v>
      </c>
      <c r="H36" s="85"/>
      <c r="I36" s="85"/>
    </row>
    <row r="37" spans="1:17" ht="15.75" thickBot="1" x14ac:dyDescent="0.3">
      <c r="B37" s="74" t="str">
        <f>+B36</f>
        <v>Show</v>
      </c>
      <c r="D37" s="193" t="str">
        <f>+"END OF "&amp;D2</f>
        <v>END OF NORTH DALLAS SHARED MINISTRIES  (002218P) - DRY|DRYUSDA|MCTF PICK LIST</v>
      </c>
      <c r="E37" s="194"/>
      <c r="F37" s="194"/>
      <c r="G37" s="194"/>
      <c r="H37" s="194"/>
      <c r="I37" s="194"/>
      <c r="J37" s="194"/>
      <c r="K37" s="194"/>
      <c r="L37" s="194"/>
      <c r="M37" s="195"/>
    </row>
    <row r="38" spans="1:17" ht="15.75" thickBot="1" x14ac:dyDescent="0.3"/>
    <row r="39" spans="1:17" ht="80.099999999999994" customHeight="1" thickBot="1" x14ac:dyDescent="0.3">
      <c r="A39" s="76" t="s">
        <v>30</v>
      </c>
      <c r="D39" s="166" t="str">
        <f>+F6</f>
        <v>DELIVER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7" ht="36.75" x14ac:dyDescent="0.45">
      <c r="A40" s="76" t="s">
        <v>30</v>
      </c>
      <c r="D40" s="176" t="s">
        <v>12</v>
      </c>
      <c r="E40" s="177"/>
      <c r="F40" s="196" t="str">
        <f>+F4</f>
        <v>002218P</v>
      </c>
      <c r="G40" s="196"/>
      <c r="H40" s="196"/>
      <c r="I40" s="196"/>
      <c r="J40" s="196"/>
      <c r="K40" s="196"/>
      <c r="L40" s="196"/>
      <c r="M40" s="197"/>
    </row>
    <row r="41" spans="1:17" ht="37.5" customHeight="1" thickBot="1" x14ac:dyDescent="0.5">
      <c r="A41" s="76" t="s">
        <v>30</v>
      </c>
      <c r="D41" s="158" t="s">
        <v>5</v>
      </c>
      <c r="E41" s="159"/>
      <c r="F41" s="161" t="str">
        <f>+F5</f>
        <v>NORTH DALLAS SHARED MINISTRIES</v>
      </c>
      <c r="G41" s="161"/>
      <c r="H41" s="161"/>
      <c r="I41" s="161"/>
      <c r="J41" s="161"/>
      <c r="K41" s="161"/>
      <c r="L41" s="161"/>
      <c r="M41" s="162"/>
      <c r="N41" s="84"/>
      <c r="O41" s="84"/>
      <c r="P41" s="84"/>
    </row>
    <row r="42" spans="1:17" ht="33.75" hidden="1" thickBot="1" x14ac:dyDescent="0.45">
      <c r="A42" s="76" t="s">
        <v>19</v>
      </c>
      <c r="D42" s="172" t="s">
        <v>49</v>
      </c>
      <c r="E42" s="173"/>
      <c r="F42" s="82"/>
      <c r="G42" s="83"/>
      <c r="H42" s="82"/>
      <c r="I42" s="82"/>
      <c r="J42" s="82"/>
      <c r="K42" s="82"/>
      <c r="L42" s="82"/>
      <c r="M42" s="81"/>
    </row>
    <row r="43" spans="1:17" ht="30" hidden="1" customHeight="1" x14ac:dyDescent="0.25">
      <c r="A43" s="76" t="s">
        <v>19</v>
      </c>
      <c r="D43" s="80"/>
      <c r="E43" s="78"/>
      <c r="F43" s="174" t="s">
        <v>1257</v>
      </c>
      <c r="G43" s="174"/>
      <c r="H43" s="174"/>
      <c r="I43" s="174"/>
      <c r="J43" s="174"/>
      <c r="K43" s="174"/>
      <c r="L43" s="174"/>
      <c r="M43" s="175"/>
    </row>
    <row r="44" spans="1:17" ht="30" hidden="1" customHeight="1" x14ac:dyDescent="0.25">
      <c r="A44" s="76" t="s">
        <v>184</v>
      </c>
      <c r="D44" s="80"/>
      <c r="E44" s="78"/>
      <c r="F44" s="174" t="str">
        <f>"A108183"</f>
        <v>A108183</v>
      </c>
      <c r="G44" s="174"/>
      <c r="H44" s="174"/>
      <c r="I44" s="174"/>
      <c r="J44" s="174"/>
      <c r="K44" s="174"/>
      <c r="L44" s="174"/>
      <c r="M44" s="175"/>
    </row>
    <row r="45" spans="1:17" ht="15.75" hidden="1" customHeight="1" thickBot="1" x14ac:dyDescent="0.3">
      <c r="A45" s="76" t="s">
        <v>19</v>
      </c>
      <c r="D45" s="80"/>
      <c r="E45" s="78"/>
      <c r="F45" s="78"/>
      <c r="G45" s="79"/>
      <c r="H45" s="78"/>
      <c r="I45" s="78"/>
      <c r="J45" s="78"/>
      <c r="K45" s="78"/>
      <c r="L45" s="78"/>
      <c r="M45" s="77"/>
    </row>
    <row r="46" spans="1:17" ht="36.75" x14ac:dyDescent="0.45">
      <c r="A46" s="76" t="s">
        <v>30</v>
      </c>
      <c r="D46" s="176" t="s">
        <v>50</v>
      </c>
      <c r="E46" s="177"/>
      <c r="F46" s="178">
        <f>+F7</f>
        <v>42612</v>
      </c>
      <c r="G46" s="179"/>
      <c r="H46" s="179"/>
      <c r="I46" s="179"/>
      <c r="J46" s="179"/>
      <c r="K46" s="179"/>
      <c r="L46" s="179"/>
      <c r="M46" s="180"/>
    </row>
    <row r="47" spans="1:17" ht="37.5" thickBot="1" x14ac:dyDescent="0.5">
      <c r="A47" s="76" t="s">
        <v>30</v>
      </c>
      <c r="D47" s="158" t="s">
        <v>32</v>
      </c>
      <c r="E47" s="159"/>
      <c r="F47" s="160"/>
      <c r="G47" s="161"/>
      <c r="H47" s="161"/>
      <c r="I47" s="161"/>
      <c r="J47" s="161"/>
      <c r="K47" s="161"/>
      <c r="L47" s="161"/>
      <c r="M47" s="162"/>
    </row>
    <row r="48" spans="1:17" ht="80.099999999999994" customHeight="1" thickBot="1" x14ac:dyDescent="0.3">
      <c r="A48" s="76" t="s">
        <v>30</v>
      </c>
      <c r="D48" s="163" t="s">
        <v>51</v>
      </c>
      <c r="E48" s="164"/>
      <c r="F48" s="164"/>
      <c r="G48" s="164"/>
      <c r="H48" s="164"/>
      <c r="I48" s="164"/>
      <c r="J48" s="164"/>
      <c r="K48" s="164"/>
      <c r="L48" s="164"/>
      <c r="M48" s="165"/>
    </row>
    <row r="49" spans="1:13" ht="90" customHeight="1" thickBot="1" x14ac:dyDescent="0.3">
      <c r="A49" s="76" t="s">
        <v>30</v>
      </c>
      <c r="D49" s="166" t="str">
        <f>IF(F6="DELIVER",G6,F6)</f>
        <v>DALLAS 4</v>
      </c>
      <c r="E49" s="167"/>
      <c r="F49" s="167"/>
      <c r="G49" s="167"/>
      <c r="H49" s="167"/>
      <c r="I49" s="167"/>
      <c r="J49" s="167"/>
      <c r="K49" s="167"/>
      <c r="L49" s="167"/>
      <c r="M49" s="168"/>
    </row>
    <row r="50" spans="1:13" ht="60" customHeight="1" thickBot="1" x14ac:dyDescent="0.3">
      <c r="A50" s="76" t="s">
        <v>30</v>
      </c>
      <c r="D50" s="169" t="s">
        <v>55</v>
      </c>
      <c r="E50" s="170"/>
      <c r="F50" s="170"/>
      <c r="G50" s="170"/>
      <c r="H50" s="170"/>
      <c r="I50" s="170"/>
      <c r="J50" s="170"/>
      <c r="K50" s="170"/>
      <c r="L50" s="170"/>
      <c r="M50" s="171"/>
    </row>
  </sheetData>
  <mergeCells count="18">
    <mergeCell ref="D46:E46"/>
    <mergeCell ref="F46:M46"/>
    <mergeCell ref="D2:M2"/>
    <mergeCell ref="F16:M18"/>
    <mergeCell ref="D37:M37"/>
    <mergeCell ref="D39:M39"/>
    <mergeCell ref="D40:E40"/>
    <mergeCell ref="F40:M40"/>
    <mergeCell ref="F44:M44"/>
    <mergeCell ref="D41:E41"/>
    <mergeCell ref="F41:M41"/>
    <mergeCell ref="D42:E42"/>
    <mergeCell ref="F43:M43"/>
    <mergeCell ref="D47:E47"/>
    <mergeCell ref="F47:M47"/>
    <mergeCell ref="D48:M48"/>
    <mergeCell ref="D49:M49"/>
    <mergeCell ref="D50:M50"/>
  </mergeCells>
  <conditionalFormatting sqref="F6">
    <cfRule type="cellIs" dxfId="454" priority="5" operator="equal">
      <formula>"DELIVER"</formula>
    </cfRule>
  </conditionalFormatting>
  <conditionalFormatting sqref="D39">
    <cfRule type="cellIs" dxfId="453" priority="4" operator="equal">
      <formula>"DELIVER"</formula>
    </cfRule>
  </conditionalFormatting>
  <conditionalFormatting sqref="D2:M2">
    <cfRule type="expression" dxfId="452" priority="3">
      <formula>$F$6="DELIVER"</formula>
    </cfRule>
  </conditionalFormatting>
  <conditionalFormatting sqref="G6">
    <cfRule type="expression" dxfId="451" priority="2">
      <formula>$F$6="DELIVER"</formula>
    </cfRule>
  </conditionalFormatting>
  <conditionalFormatting sqref="D49">
    <cfRule type="expression" dxfId="45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7" max="16383" man="1"/>
  </rowBreaks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1772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>HIDESHEET</v>
      </c>
      <c r="C2" s="74" t="s">
        <v>7</v>
      </c>
      <c r="D2" s="181" t="str">
        <f>IF(E24="",F5&amp;"  ("&amp;F4&amp;") - NO "&amp;C23,F5&amp;"  ("&amp;F4&amp;") - "&amp;C23&amp;" PICK LIST")</f>
        <v>CARROLLTON FRIENDSHIP HOUSE  (026030P)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"026030P"</f>
        <v>026030P</v>
      </c>
      <c r="E4" s="101" t="s">
        <v>37</v>
      </c>
      <c r="F4" s="105" t="str">
        <f>C4</f>
        <v>026030P</v>
      </c>
      <c r="K4" s="101" t="s">
        <v>42</v>
      </c>
      <c r="L4" s="104"/>
      <c r="M4" s="111">
        <f>SUM(I24:I25)</f>
        <v>0</v>
      </c>
    </row>
    <row r="5" spans="1:26" ht="18" hidden="1" customHeight="1" x14ac:dyDescent="0.25">
      <c r="B5" s="76" t="str">
        <f t="shared" si="0"/>
        <v>Hide</v>
      </c>
      <c r="C5" s="109" t="s">
        <v>1372</v>
      </c>
      <c r="E5" s="101" t="s">
        <v>36</v>
      </c>
      <c r="F5" s="112" t="s">
        <v>1177</v>
      </c>
      <c r="K5" s="101" t="s">
        <v>43</v>
      </c>
      <c r="L5" s="104"/>
      <c r="M5" s="111">
        <f>ROUND(SUM(O24:O25),0)</f>
        <v>0</v>
      </c>
    </row>
    <row r="6" spans="1:26" ht="18" hidden="1" customHeight="1" x14ac:dyDescent="0.25">
      <c r="B6" s="76" t="str">
        <f t="shared" si="0"/>
        <v>Hide</v>
      </c>
      <c r="C6" s="109" t="s">
        <v>1377</v>
      </c>
      <c r="E6" s="101" t="s">
        <v>38</v>
      </c>
      <c r="F6" s="105" t="s">
        <v>60</v>
      </c>
      <c r="G6" s="110" t="s">
        <v>1198</v>
      </c>
      <c r="I6" s="109"/>
      <c r="J6" s="109"/>
      <c r="K6" s="108" t="s">
        <v>58</v>
      </c>
      <c r="L6" s="108"/>
      <c r="M6" s="107">
        <f>ROUND(COUNT(O24:O25),0)</f>
        <v>0</v>
      </c>
      <c r="P6" s="101"/>
      <c r="W6" s="101" t="str">
        <f>"ESTIMATED "&amp;O23&amp;"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E14</f>
        <v>A108219|A108219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F14</f>
        <v>ITPN-207453|ITPN-207453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 t="shared" si="0"/>
        <v>Hide</v>
      </c>
      <c r="C12" s="74" t="s">
        <v>1372</v>
      </c>
      <c r="E12" s="74" t="s">
        <v>1365</v>
      </c>
      <c r="F12" s="74" t="s">
        <v>1373</v>
      </c>
      <c r="I12" s="98"/>
      <c r="J12" s="98"/>
      <c r="K12" s="98"/>
      <c r="L12" s="98"/>
      <c r="M12" s="98"/>
    </row>
    <row r="13" spans="1:26" hidden="1" x14ac:dyDescent="0.25">
      <c r="A13" s="74" t="s">
        <v>6</v>
      </c>
      <c r="B13" s="76" t="str">
        <f t="shared" si="0"/>
        <v>Hide</v>
      </c>
      <c r="C13" s="74" t="s">
        <v>1365</v>
      </c>
      <c r="E13" s="74" t="str">
        <f>E12</f>
        <v>A108219</v>
      </c>
      <c r="F13" s="74" t="str">
        <f>F12</f>
        <v>ITPN-207453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si="0"/>
        <v>Hide</v>
      </c>
      <c r="E14" s="92" t="s">
        <v>1374</v>
      </c>
      <c r="F14" s="92" t="s">
        <v>1375</v>
      </c>
      <c r="I14" s="98"/>
      <c r="J14" s="98"/>
      <c r="K14" s="98"/>
      <c r="L14" s="98"/>
      <c r="M14" s="98"/>
    </row>
    <row r="15" spans="1:26" hidden="1" x14ac:dyDescent="0.25">
      <c r="B15" s="76" t="str">
        <f t="shared" si="0"/>
        <v>Hide</v>
      </c>
      <c r="E15" s="101" t="s">
        <v>20</v>
      </c>
      <c r="F15" s="184" t="s">
        <v>1376</v>
      </c>
      <c r="G15" s="185"/>
      <c r="H15" s="185"/>
      <c r="I15" s="185"/>
      <c r="J15" s="185"/>
      <c r="K15" s="185"/>
      <c r="L15" s="185"/>
      <c r="M15" s="186"/>
    </row>
    <row r="16" spans="1:26" hidden="1" x14ac:dyDescent="0.25">
      <c r="B16" s="76" t="str">
        <f t="shared" si="0"/>
        <v>Hide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hidden="1" thickBot="1" x14ac:dyDescent="0.3">
      <c r="B17" s="76" t="str">
        <f t="shared" si="0"/>
        <v>Hide</v>
      </c>
      <c r="F17" s="190"/>
      <c r="G17" s="191"/>
      <c r="H17" s="191"/>
      <c r="I17" s="191"/>
      <c r="J17" s="191"/>
      <c r="K17" s="191"/>
      <c r="L17" s="191"/>
      <c r="M17" s="192"/>
    </row>
    <row r="18" spans="1:17" hidden="1" x14ac:dyDescent="0.25">
      <c r="B18" s="76" t="str">
        <f t="shared" si="0"/>
        <v>Hide</v>
      </c>
    </row>
    <row r="19" spans="1:17" hidden="1" x14ac:dyDescent="0.25">
      <c r="B19" s="76" t="str">
        <f t="shared" si="0"/>
        <v>Hide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hidden="1" x14ac:dyDescent="0.25">
      <c r="B20" s="76" t="str">
        <f t="shared" si="0"/>
        <v>Hide</v>
      </c>
      <c r="E20" s="101"/>
    </row>
    <row r="21" spans="1:17" hidden="1" x14ac:dyDescent="0.25">
      <c r="B21" s="76" t="str">
        <f t="shared" si="0"/>
        <v>Hide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hidden="1" x14ac:dyDescent="0.25">
      <c r="B22" s="76" t="str">
        <f t="shared" si="0"/>
        <v>Hide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hidden="1" customHeight="1" x14ac:dyDescent="0.25">
      <c r="A23" s="97"/>
      <c r="B23" s="76" t="str">
        <f t="shared" si="0"/>
        <v>Hide</v>
      </c>
      <c r="C23" s="117" t="s">
        <v>59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hidden="1" customHeight="1" x14ac:dyDescent="0.25">
      <c r="B24" s="92" t="str">
        <f>IF(I24="","Hide","Show")</f>
        <v>Hide</v>
      </c>
      <c r="C24" s="74" t="s">
        <v>179</v>
      </c>
      <c r="D24" s="89" t="s">
        <v>179</v>
      </c>
      <c r="E24" s="89" t="s">
        <v>179</v>
      </c>
      <c r="F24" s="89" t="s">
        <v>179</v>
      </c>
      <c r="G24" s="91" t="s">
        <v>180</v>
      </c>
      <c r="H24" s="90" t="s">
        <v>179</v>
      </c>
      <c r="I24" s="89" t="s">
        <v>179</v>
      </c>
      <c r="J24" s="89" t="s">
        <v>179</v>
      </c>
      <c r="K24" s="88"/>
      <c r="L24" s="87"/>
      <c r="M24" s="87"/>
      <c r="N24" s="85" t="s">
        <v>179</v>
      </c>
      <c r="O24" s="85" t="s">
        <v>179</v>
      </c>
      <c r="P24" s="85" t="s">
        <v>179</v>
      </c>
      <c r="Q24" s="86" t="s">
        <v>56</v>
      </c>
    </row>
    <row r="25" spans="1:17" hidden="1" x14ac:dyDescent="0.25">
      <c r="B25" s="74" t="str">
        <f>B24</f>
        <v>Hide</v>
      </c>
      <c r="H25" s="85"/>
      <c r="I25" s="85"/>
    </row>
    <row r="26" spans="1:17" ht="15.75" hidden="1" thickBot="1" x14ac:dyDescent="0.3">
      <c r="B26" s="74" t="str">
        <f>+B25</f>
        <v>Hide</v>
      </c>
      <c r="D26" s="193" t="str">
        <f>+"END OF "&amp;D2</f>
        <v>END OF CARROLLTON FRIENDSHIP HOUSE  (026030P) - NO F4K</v>
      </c>
      <c r="E26" s="194"/>
      <c r="F26" s="194"/>
      <c r="G26" s="194"/>
      <c r="H26" s="194"/>
      <c r="I26" s="194"/>
      <c r="J26" s="194"/>
      <c r="K26" s="194"/>
      <c r="L26" s="194"/>
      <c r="M26" s="195"/>
    </row>
    <row r="27" spans="1:17" ht="15.75" thickBot="1" x14ac:dyDescent="0.3"/>
    <row r="28" spans="1:17" ht="80.099999999999994" customHeight="1" thickBot="1" x14ac:dyDescent="0.3">
      <c r="A28" s="76" t="s">
        <v>30</v>
      </c>
      <c r="D28" s="166" t="str">
        <f>+F6</f>
        <v>DELIVER</v>
      </c>
      <c r="E28" s="167"/>
      <c r="F28" s="167"/>
      <c r="G28" s="167"/>
      <c r="H28" s="167"/>
      <c r="I28" s="167"/>
      <c r="J28" s="167"/>
      <c r="K28" s="167"/>
      <c r="L28" s="167"/>
      <c r="M28" s="168"/>
    </row>
    <row r="29" spans="1:17" ht="36.75" x14ac:dyDescent="0.45">
      <c r="A29" s="76" t="s">
        <v>30</v>
      </c>
      <c r="D29" s="176" t="s">
        <v>12</v>
      </c>
      <c r="E29" s="177"/>
      <c r="F29" s="196" t="str">
        <f>+F4</f>
        <v>026030P</v>
      </c>
      <c r="G29" s="196"/>
      <c r="H29" s="196"/>
      <c r="I29" s="196"/>
      <c r="J29" s="196"/>
      <c r="K29" s="196"/>
      <c r="L29" s="196"/>
      <c r="M29" s="197"/>
    </row>
    <row r="30" spans="1:17" ht="37.5" customHeight="1" thickBot="1" x14ac:dyDescent="0.5">
      <c r="A30" s="76" t="s">
        <v>30</v>
      </c>
      <c r="D30" s="158" t="s">
        <v>5</v>
      </c>
      <c r="E30" s="159"/>
      <c r="F30" s="161" t="str">
        <f>+F5</f>
        <v>CARROLLTON FRIENDSHIP HOUSE</v>
      </c>
      <c r="G30" s="161"/>
      <c r="H30" s="161"/>
      <c r="I30" s="161"/>
      <c r="J30" s="161"/>
      <c r="K30" s="161"/>
      <c r="L30" s="161"/>
      <c r="M30" s="162"/>
      <c r="N30" s="84"/>
      <c r="O30" s="84"/>
      <c r="P30" s="84"/>
    </row>
    <row r="31" spans="1:17" ht="33.75" hidden="1" thickBot="1" x14ac:dyDescent="0.45">
      <c r="A31" s="76" t="s">
        <v>19</v>
      </c>
      <c r="D31" s="172" t="s">
        <v>49</v>
      </c>
      <c r="E31" s="173"/>
      <c r="F31" s="82"/>
      <c r="G31" s="83"/>
      <c r="H31" s="82"/>
      <c r="I31" s="82"/>
      <c r="J31" s="82"/>
      <c r="K31" s="82"/>
      <c r="L31" s="82"/>
      <c r="M31" s="81"/>
    </row>
    <row r="32" spans="1:17" ht="30" hidden="1" customHeight="1" x14ac:dyDescent="0.25">
      <c r="A32" s="76" t="s">
        <v>19</v>
      </c>
      <c r="D32" s="80"/>
      <c r="E32" s="78"/>
      <c r="F32" s="174" t="s">
        <v>1365</v>
      </c>
      <c r="G32" s="174"/>
      <c r="H32" s="174"/>
      <c r="I32" s="174"/>
      <c r="J32" s="174"/>
      <c r="K32" s="174"/>
      <c r="L32" s="174"/>
      <c r="M32" s="175"/>
    </row>
    <row r="33" spans="1:13" ht="15.75" hidden="1" customHeight="1" thickBot="1" x14ac:dyDescent="0.3">
      <c r="A33" s="76" t="s">
        <v>19</v>
      </c>
      <c r="D33" s="80"/>
      <c r="E33" s="78"/>
      <c r="F33" s="78"/>
      <c r="G33" s="79"/>
      <c r="H33" s="78"/>
      <c r="I33" s="78"/>
      <c r="J33" s="78"/>
      <c r="K33" s="78"/>
      <c r="L33" s="78"/>
      <c r="M33" s="77"/>
    </row>
    <row r="34" spans="1:13" ht="36.75" x14ac:dyDescent="0.45">
      <c r="A34" s="76" t="s">
        <v>30</v>
      </c>
      <c r="D34" s="176" t="s">
        <v>50</v>
      </c>
      <c r="E34" s="177"/>
      <c r="F34" s="178">
        <f>+F7</f>
        <v>42612</v>
      </c>
      <c r="G34" s="179"/>
      <c r="H34" s="179"/>
      <c r="I34" s="179"/>
      <c r="J34" s="179"/>
      <c r="K34" s="179"/>
      <c r="L34" s="179"/>
      <c r="M34" s="180"/>
    </row>
    <row r="35" spans="1:13" ht="37.5" thickBot="1" x14ac:dyDescent="0.5">
      <c r="A35" s="76" t="s">
        <v>30</v>
      </c>
      <c r="D35" s="158" t="s">
        <v>32</v>
      </c>
      <c r="E35" s="159"/>
      <c r="F35" s="160"/>
      <c r="G35" s="161"/>
      <c r="H35" s="161"/>
      <c r="I35" s="161"/>
      <c r="J35" s="161"/>
      <c r="K35" s="161"/>
      <c r="L35" s="161"/>
      <c r="M35" s="162"/>
    </row>
    <row r="36" spans="1:13" ht="80.099999999999994" customHeight="1" thickBot="1" x14ac:dyDescent="0.3">
      <c r="A36" s="76" t="s">
        <v>30</v>
      </c>
      <c r="D36" s="163" t="s">
        <v>51</v>
      </c>
      <c r="E36" s="164"/>
      <c r="F36" s="164"/>
      <c r="G36" s="164"/>
      <c r="H36" s="164"/>
      <c r="I36" s="164"/>
      <c r="J36" s="164"/>
      <c r="K36" s="164"/>
      <c r="L36" s="164"/>
      <c r="M36" s="165"/>
    </row>
    <row r="37" spans="1:13" ht="90" customHeight="1" thickBot="1" x14ac:dyDescent="0.3">
      <c r="A37" s="76" t="s">
        <v>30</v>
      </c>
      <c r="D37" s="166" t="str">
        <f>IF(F6="DELIVER",G6,F6)</f>
        <v>COLLIN 3</v>
      </c>
      <c r="E37" s="167"/>
      <c r="F37" s="167"/>
      <c r="G37" s="167"/>
      <c r="H37" s="167"/>
      <c r="I37" s="167"/>
      <c r="J37" s="167"/>
      <c r="K37" s="167"/>
      <c r="L37" s="167"/>
      <c r="M37" s="168"/>
    </row>
    <row r="38" spans="1:13" ht="60" customHeight="1" thickBot="1" x14ac:dyDescent="0.3">
      <c r="A38" s="76" t="s">
        <v>30</v>
      </c>
      <c r="D38" s="169" t="s">
        <v>55</v>
      </c>
      <c r="E38" s="170"/>
      <c r="F38" s="170"/>
      <c r="G38" s="170"/>
      <c r="H38" s="170"/>
      <c r="I38" s="170"/>
      <c r="J38" s="170"/>
      <c r="K38" s="170"/>
      <c r="L38" s="170"/>
      <c r="M38" s="171"/>
    </row>
  </sheetData>
  <mergeCells count="17">
    <mergeCell ref="D2:M2"/>
    <mergeCell ref="F15:M17"/>
    <mergeCell ref="D26:M26"/>
    <mergeCell ref="D28:M28"/>
    <mergeCell ref="D29:E29"/>
    <mergeCell ref="F29:M29"/>
    <mergeCell ref="D30:E30"/>
    <mergeCell ref="F30:M30"/>
    <mergeCell ref="D31:E31"/>
    <mergeCell ref="F32:M32"/>
    <mergeCell ref="D34:E34"/>
    <mergeCell ref="F34:M34"/>
    <mergeCell ref="D35:E35"/>
    <mergeCell ref="F35:M35"/>
    <mergeCell ref="D36:M36"/>
    <mergeCell ref="D37:M37"/>
    <mergeCell ref="D38:M38"/>
  </mergeCells>
  <conditionalFormatting sqref="F6">
    <cfRule type="cellIs" dxfId="49" priority="5" operator="equal">
      <formula>"DELIVER"</formula>
    </cfRule>
  </conditionalFormatting>
  <conditionalFormatting sqref="D28">
    <cfRule type="cellIs" dxfId="48" priority="4" operator="equal">
      <formula>"DELIVER"</formula>
    </cfRule>
  </conditionalFormatting>
  <conditionalFormatting sqref="D2:M2">
    <cfRule type="expression" dxfId="47" priority="3">
      <formula>$F$6="DELIVER"</formula>
    </cfRule>
  </conditionalFormatting>
  <conditionalFormatting sqref="G6">
    <cfRule type="expression" dxfId="46" priority="2">
      <formula>$F$6="DELIVER"</formula>
    </cfRule>
  </conditionalFormatting>
  <conditionalFormatting sqref="D37">
    <cfRule type="expression" dxfId="4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1774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IF(F24="","HIDESHEET","")</f>
        <v>HIDESHEET</v>
      </c>
      <c r="C2" s="74" t="s">
        <v>7</v>
      </c>
      <c r="D2" s="181" t="str">
        <f>IF(E24="",F5&amp;"  ("&amp;F4&amp;") - NO "&amp;C23,F5&amp;"  ("&amp;F4&amp;") - "&amp;C23&amp;" PICK LIST")</f>
        <v>CATHOLIC CHARITIES OF DALLAS  (026056P5)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23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"026056P5"</f>
        <v>026056P5</v>
      </c>
      <c r="E4" s="101" t="s">
        <v>37</v>
      </c>
      <c r="F4" s="105" t="str">
        <f>C4</f>
        <v>026056P5</v>
      </c>
      <c r="K4" s="101" t="s">
        <v>42</v>
      </c>
      <c r="L4" s="104"/>
      <c r="M4" s="111">
        <f>SUM(I24:I25)</f>
        <v>0</v>
      </c>
    </row>
    <row r="5" spans="1:26" ht="18" hidden="1" customHeight="1" x14ac:dyDescent="0.25">
      <c r="B5" s="76" t="str">
        <f t="shared" si="0"/>
        <v>Hide</v>
      </c>
      <c r="C5" s="109" t="s">
        <v>1380</v>
      </c>
      <c r="E5" s="101" t="s">
        <v>36</v>
      </c>
      <c r="F5" s="112" t="s">
        <v>1184</v>
      </c>
      <c r="K5" s="101" t="s">
        <v>43</v>
      </c>
      <c r="L5" s="104"/>
      <c r="M5" s="111">
        <f>ROUND(SUM(O24:O25),0)</f>
        <v>0</v>
      </c>
    </row>
    <row r="6" spans="1:26" ht="18" hidden="1" customHeight="1" x14ac:dyDescent="0.25">
      <c r="B6" s="76" t="str">
        <f t="shared" si="0"/>
        <v>Hide</v>
      </c>
      <c r="C6" s="109" t="s">
        <v>1384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ROUND(COUNT(O24:O25),0)</f>
        <v>0</v>
      </c>
      <c r="P6" s="101"/>
      <c r="W6" s="101" t="str">
        <f>"ESTIMATED "&amp;O23&amp;"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E14</f>
        <v>A108413|A108413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F14</f>
        <v>ITPN-207502|ITPN-207502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 t="shared" si="0"/>
        <v>Hide</v>
      </c>
      <c r="C12" s="74" t="s">
        <v>1380</v>
      </c>
      <c r="E12" s="74" t="s">
        <v>1379</v>
      </c>
      <c r="F12" s="74" t="s">
        <v>1381</v>
      </c>
      <c r="I12" s="98"/>
      <c r="J12" s="98"/>
      <c r="K12" s="98"/>
      <c r="L12" s="98"/>
      <c r="M12" s="98"/>
    </row>
    <row r="13" spans="1:26" hidden="1" x14ac:dyDescent="0.25">
      <c r="A13" s="74" t="s">
        <v>6</v>
      </c>
      <c r="B13" s="76" t="str">
        <f t="shared" si="0"/>
        <v>Hide</v>
      </c>
      <c r="C13" s="74" t="s">
        <v>1379</v>
      </c>
      <c r="E13" s="74" t="str">
        <f>E12</f>
        <v>A108413</v>
      </c>
      <c r="F13" s="74" t="str">
        <f>F12</f>
        <v>ITPN-207502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si="0"/>
        <v>Hide</v>
      </c>
      <c r="E14" s="92" t="s">
        <v>1382</v>
      </c>
      <c r="F14" s="92" t="s">
        <v>1383</v>
      </c>
      <c r="I14" s="98"/>
      <c r="J14" s="98"/>
      <c r="K14" s="98"/>
      <c r="L14" s="98"/>
      <c r="M14" s="98"/>
    </row>
    <row r="15" spans="1:26" hidden="1" x14ac:dyDescent="0.25">
      <c r="B15" s="76" t="str">
        <f t="shared" si="0"/>
        <v>Hide</v>
      </c>
      <c r="E15" s="101" t="s">
        <v>20</v>
      </c>
      <c r="F15" s="184" t="s">
        <v>179</v>
      </c>
      <c r="G15" s="185"/>
      <c r="H15" s="185"/>
      <c r="I15" s="185"/>
      <c r="J15" s="185"/>
      <c r="K15" s="185"/>
      <c r="L15" s="185"/>
      <c r="M15" s="186"/>
    </row>
    <row r="16" spans="1:26" hidden="1" x14ac:dyDescent="0.25">
      <c r="B16" s="76" t="str">
        <f t="shared" si="0"/>
        <v>Hide</v>
      </c>
      <c r="F16" s="187"/>
      <c r="G16" s="188"/>
      <c r="H16" s="188"/>
      <c r="I16" s="188"/>
      <c r="J16" s="188"/>
      <c r="K16" s="188"/>
      <c r="L16" s="188"/>
      <c r="M16" s="189"/>
    </row>
    <row r="17" spans="1:17" ht="15.75" hidden="1" thickBot="1" x14ac:dyDescent="0.3">
      <c r="B17" s="76" t="str">
        <f t="shared" si="0"/>
        <v>Hide</v>
      </c>
      <c r="F17" s="190"/>
      <c r="G17" s="191"/>
      <c r="H17" s="191"/>
      <c r="I17" s="191"/>
      <c r="J17" s="191"/>
      <c r="K17" s="191"/>
      <c r="L17" s="191"/>
      <c r="M17" s="192"/>
    </row>
    <row r="18" spans="1:17" hidden="1" x14ac:dyDescent="0.25">
      <c r="B18" s="76" t="str">
        <f t="shared" si="0"/>
        <v>Hide</v>
      </c>
    </row>
    <row r="19" spans="1:17" hidden="1" x14ac:dyDescent="0.25">
      <c r="B19" s="76" t="str">
        <f t="shared" si="0"/>
        <v>Hide</v>
      </c>
      <c r="E19" s="101" t="s">
        <v>33</v>
      </c>
      <c r="F19" s="100"/>
      <c r="G19" s="102"/>
      <c r="H19" s="101" t="s">
        <v>53</v>
      </c>
      <c r="I19" s="100"/>
      <c r="J19" s="100"/>
      <c r="K19" s="100"/>
    </row>
    <row r="20" spans="1:17" hidden="1" x14ac:dyDescent="0.25">
      <c r="B20" s="76" t="str">
        <f t="shared" si="0"/>
        <v>Hide</v>
      </c>
      <c r="E20" s="101"/>
    </row>
    <row r="21" spans="1:17" hidden="1" x14ac:dyDescent="0.25">
      <c r="B21" s="76" t="str">
        <f t="shared" si="0"/>
        <v>Hide</v>
      </c>
      <c r="E21" s="101" t="s">
        <v>32</v>
      </c>
      <c r="F21" s="100"/>
      <c r="G21" s="102"/>
      <c r="H21" s="101" t="s">
        <v>54</v>
      </c>
      <c r="I21" s="100"/>
      <c r="J21" s="100"/>
      <c r="K21" s="100"/>
    </row>
    <row r="22" spans="1:17" hidden="1" x14ac:dyDescent="0.25">
      <c r="B22" s="76" t="str">
        <f t="shared" si="0"/>
        <v>Hide</v>
      </c>
      <c r="C22" s="74" t="s">
        <v>52</v>
      </c>
      <c r="D22" s="74" t="s">
        <v>52</v>
      </c>
      <c r="F22" s="99"/>
      <c r="I22" s="98"/>
      <c r="J22" s="98"/>
      <c r="K22" s="98"/>
      <c r="L22" s="98"/>
      <c r="M22" s="98"/>
    </row>
    <row r="23" spans="1:17" s="75" customFormat="1" ht="15.95" hidden="1" customHeight="1" x14ac:dyDescent="0.25">
      <c r="A23" s="97"/>
      <c r="B23" s="76" t="str">
        <f t="shared" si="0"/>
        <v>Hide</v>
      </c>
      <c r="C23" s="117" t="s">
        <v>59</v>
      </c>
      <c r="D23" s="94" t="s">
        <v>28</v>
      </c>
      <c r="E23" s="94" t="s">
        <v>26</v>
      </c>
      <c r="F23" s="94" t="s">
        <v>29</v>
      </c>
      <c r="G23" s="94" t="s">
        <v>57</v>
      </c>
      <c r="H23" s="94" t="s">
        <v>27</v>
      </c>
      <c r="I23" s="94" t="s">
        <v>25</v>
      </c>
      <c r="J23" s="94" t="s">
        <v>10</v>
      </c>
      <c r="K23" s="94" t="s">
        <v>24</v>
      </c>
      <c r="L23" s="95"/>
      <c r="M23" s="94" t="s">
        <v>31</v>
      </c>
      <c r="N23" s="93" t="s">
        <v>21</v>
      </c>
      <c r="O23" s="93" t="s">
        <v>22</v>
      </c>
      <c r="P23" s="93" t="s">
        <v>23</v>
      </c>
      <c r="Q23" s="93"/>
    </row>
    <row r="24" spans="1:17" ht="24.95" hidden="1" customHeight="1" x14ac:dyDescent="0.25">
      <c r="B24" s="92" t="str">
        <f>IF(I24="","Hide","Show")</f>
        <v>Hide</v>
      </c>
      <c r="C24" s="74" t="s">
        <v>179</v>
      </c>
      <c r="D24" s="89" t="s">
        <v>179</v>
      </c>
      <c r="E24" s="89" t="s">
        <v>179</v>
      </c>
      <c r="F24" s="89" t="s">
        <v>179</v>
      </c>
      <c r="G24" s="91" t="s">
        <v>180</v>
      </c>
      <c r="H24" s="90" t="s">
        <v>179</v>
      </c>
      <c r="I24" s="89" t="s">
        <v>179</v>
      </c>
      <c r="J24" s="89" t="s">
        <v>179</v>
      </c>
      <c r="K24" s="88"/>
      <c r="L24" s="87"/>
      <c r="M24" s="87"/>
      <c r="N24" s="85" t="s">
        <v>179</v>
      </c>
      <c r="O24" s="85" t="s">
        <v>179</v>
      </c>
      <c r="P24" s="85" t="s">
        <v>179</v>
      </c>
      <c r="Q24" s="86" t="s">
        <v>56</v>
      </c>
    </row>
    <row r="25" spans="1:17" hidden="1" x14ac:dyDescent="0.25">
      <c r="B25" s="74" t="str">
        <f>B24</f>
        <v>Hide</v>
      </c>
      <c r="H25" s="85"/>
      <c r="I25" s="85"/>
    </row>
    <row r="26" spans="1:17" ht="15.75" hidden="1" thickBot="1" x14ac:dyDescent="0.3">
      <c r="B26" s="74" t="str">
        <f>+B25</f>
        <v>Hide</v>
      </c>
      <c r="D26" s="193" t="str">
        <f>+"END OF "&amp;D2</f>
        <v>END OF CATHOLIC CHARITIES OF DALLAS  (026056P5) - NO F4K</v>
      </c>
      <c r="E26" s="194"/>
      <c r="F26" s="194"/>
      <c r="G26" s="194"/>
      <c r="H26" s="194"/>
      <c r="I26" s="194"/>
      <c r="J26" s="194"/>
      <c r="K26" s="194"/>
      <c r="L26" s="194"/>
      <c r="M26" s="195"/>
    </row>
    <row r="27" spans="1:17" ht="15.75" thickBot="1" x14ac:dyDescent="0.3"/>
    <row r="28" spans="1:17" ht="80.099999999999994" customHeight="1" thickBot="1" x14ac:dyDescent="0.3">
      <c r="A28" s="76" t="s">
        <v>30</v>
      </c>
      <c r="D28" s="166" t="str">
        <f>+F6</f>
        <v>PICKUP</v>
      </c>
      <c r="E28" s="167"/>
      <c r="F28" s="167"/>
      <c r="G28" s="167"/>
      <c r="H28" s="167"/>
      <c r="I28" s="167"/>
      <c r="J28" s="167"/>
      <c r="K28" s="167"/>
      <c r="L28" s="167"/>
      <c r="M28" s="168"/>
    </row>
    <row r="29" spans="1:17" ht="36.75" x14ac:dyDescent="0.45">
      <c r="A29" s="76" t="s">
        <v>30</v>
      </c>
      <c r="D29" s="176" t="s">
        <v>12</v>
      </c>
      <c r="E29" s="177"/>
      <c r="F29" s="196" t="str">
        <f>+F4</f>
        <v>026056P5</v>
      </c>
      <c r="G29" s="196"/>
      <c r="H29" s="196"/>
      <c r="I29" s="196"/>
      <c r="J29" s="196"/>
      <c r="K29" s="196"/>
      <c r="L29" s="196"/>
      <c r="M29" s="197"/>
    </row>
    <row r="30" spans="1:17" ht="37.5" customHeight="1" thickBot="1" x14ac:dyDescent="0.5">
      <c r="A30" s="76" t="s">
        <v>30</v>
      </c>
      <c r="D30" s="158" t="s">
        <v>5</v>
      </c>
      <c r="E30" s="159"/>
      <c r="F30" s="161" t="str">
        <f>+F5</f>
        <v>CATHOLIC CHARITIES OF DALLAS</v>
      </c>
      <c r="G30" s="161"/>
      <c r="H30" s="161"/>
      <c r="I30" s="161"/>
      <c r="J30" s="161"/>
      <c r="K30" s="161"/>
      <c r="L30" s="161"/>
      <c r="M30" s="162"/>
      <c r="N30" s="84"/>
      <c r="O30" s="84"/>
      <c r="P30" s="84"/>
    </row>
    <row r="31" spans="1:17" ht="33.75" hidden="1" thickBot="1" x14ac:dyDescent="0.45">
      <c r="A31" s="76" t="s">
        <v>19</v>
      </c>
      <c r="D31" s="172" t="s">
        <v>49</v>
      </c>
      <c r="E31" s="173"/>
      <c r="F31" s="82"/>
      <c r="G31" s="83"/>
      <c r="H31" s="82"/>
      <c r="I31" s="82"/>
      <c r="J31" s="82"/>
      <c r="K31" s="82"/>
      <c r="L31" s="82"/>
      <c r="M31" s="81"/>
    </row>
    <row r="32" spans="1:17" ht="30" hidden="1" customHeight="1" x14ac:dyDescent="0.25">
      <c r="A32" s="76" t="s">
        <v>19</v>
      </c>
      <c r="D32" s="80"/>
      <c r="E32" s="78"/>
      <c r="F32" s="174" t="s">
        <v>1379</v>
      </c>
      <c r="G32" s="174"/>
      <c r="H32" s="174"/>
      <c r="I32" s="174"/>
      <c r="J32" s="174"/>
      <c r="K32" s="174"/>
      <c r="L32" s="174"/>
      <c r="M32" s="175"/>
    </row>
    <row r="33" spans="1:13" ht="15.75" hidden="1" customHeight="1" thickBot="1" x14ac:dyDescent="0.3">
      <c r="A33" s="76" t="s">
        <v>19</v>
      </c>
      <c r="D33" s="80"/>
      <c r="E33" s="78"/>
      <c r="F33" s="78"/>
      <c r="G33" s="79"/>
      <c r="H33" s="78"/>
      <c r="I33" s="78"/>
      <c r="J33" s="78"/>
      <c r="K33" s="78"/>
      <c r="L33" s="78"/>
      <c r="M33" s="77"/>
    </row>
    <row r="34" spans="1:13" ht="36.75" x14ac:dyDescent="0.45">
      <c r="A34" s="76" t="s">
        <v>30</v>
      </c>
      <c r="D34" s="176" t="s">
        <v>50</v>
      </c>
      <c r="E34" s="177"/>
      <c r="F34" s="178">
        <f>+F7</f>
        <v>42612</v>
      </c>
      <c r="G34" s="179"/>
      <c r="H34" s="179"/>
      <c r="I34" s="179"/>
      <c r="J34" s="179"/>
      <c r="K34" s="179"/>
      <c r="L34" s="179"/>
      <c r="M34" s="180"/>
    </row>
    <row r="35" spans="1:13" ht="37.5" thickBot="1" x14ac:dyDescent="0.5">
      <c r="A35" s="76" t="s">
        <v>30</v>
      </c>
      <c r="D35" s="158" t="s">
        <v>32</v>
      </c>
      <c r="E35" s="159"/>
      <c r="F35" s="160"/>
      <c r="G35" s="161"/>
      <c r="H35" s="161"/>
      <c r="I35" s="161"/>
      <c r="J35" s="161"/>
      <c r="K35" s="161"/>
      <c r="L35" s="161"/>
      <c r="M35" s="162"/>
    </row>
    <row r="36" spans="1:13" ht="80.099999999999994" customHeight="1" thickBot="1" x14ac:dyDescent="0.3">
      <c r="A36" s="76" t="s">
        <v>30</v>
      </c>
      <c r="D36" s="163" t="s">
        <v>51</v>
      </c>
      <c r="E36" s="164"/>
      <c r="F36" s="164"/>
      <c r="G36" s="164"/>
      <c r="H36" s="164"/>
      <c r="I36" s="164"/>
      <c r="J36" s="164"/>
      <c r="K36" s="164"/>
      <c r="L36" s="164"/>
      <c r="M36" s="165"/>
    </row>
    <row r="37" spans="1:13" ht="90" customHeight="1" thickBot="1" x14ac:dyDescent="0.3">
      <c r="A37" s="76" t="s">
        <v>30</v>
      </c>
      <c r="D37" s="166" t="str">
        <f>IF(F6="DELIVER",G6,F6)</f>
        <v>PICKUP</v>
      </c>
      <c r="E37" s="167"/>
      <c r="F37" s="167"/>
      <c r="G37" s="167"/>
      <c r="H37" s="167"/>
      <c r="I37" s="167"/>
      <c r="J37" s="167"/>
      <c r="K37" s="167"/>
      <c r="L37" s="167"/>
      <c r="M37" s="168"/>
    </row>
    <row r="38" spans="1:13" ht="60" customHeight="1" thickBot="1" x14ac:dyDescent="0.3">
      <c r="A38" s="76" t="s">
        <v>30</v>
      </c>
      <c r="D38" s="169" t="s">
        <v>55</v>
      </c>
      <c r="E38" s="170"/>
      <c r="F38" s="170"/>
      <c r="G38" s="170"/>
      <c r="H38" s="170"/>
      <c r="I38" s="170"/>
      <c r="J38" s="170"/>
      <c r="K38" s="170"/>
      <c r="L38" s="170"/>
      <c r="M38" s="171"/>
    </row>
  </sheetData>
  <mergeCells count="17">
    <mergeCell ref="D2:M2"/>
    <mergeCell ref="F15:M17"/>
    <mergeCell ref="D26:M26"/>
    <mergeCell ref="D28:M28"/>
    <mergeCell ref="D29:E29"/>
    <mergeCell ref="F29:M29"/>
    <mergeCell ref="D30:E30"/>
    <mergeCell ref="F30:M30"/>
    <mergeCell ref="D31:E31"/>
    <mergeCell ref="F32:M32"/>
    <mergeCell ref="D34:E34"/>
    <mergeCell ref="F34:M34"/>
    <mergeCell ref="D35:E35"/>
    <mergeCell ref="F35:M35"/>
    <mergeCell ref="D36:M36"/>
    <mergeCell ref="D37:M37"/>
    <mergeCell ref="D38:M38"/>
  </mergeCells>
  <conditionalFormatting sqref="F6">
    <cfRule type="cellIs" dxfId="44" priority="5" operator="equal">
      <formula>"DELIVER"</formula>
    </cfRule>
  </conditionalFormatting>
  <conditionalFormatting sqref="D28">
    <cfRule type="cellIs" dxfId="43" priority="4" operator="equal">
      <formula>"DELIVER"</formula>
    </cfRule>
  </conditionalFormatting>
  <conditionalFormatting sqref="D2:M2">
    <cfRule type="expression" dxfId="42" priority="3">
      <formula>$F$6="DELIVER"</formula>
    </cfRule>
  </conditionalFormatting>
  <conditionalFormatting sqref="G6">
    <cfRule type="expression" dxfId="41" priority="2">
      <formula>$F$6="DELIVER"</formula>
    </cfRule>
  </conditionalFormatting>
  <conditionalFormatting sqref="D37">
    <cfRule type="expression" dxfId="4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6" max="16383" man="1"/>
  </rowBreaks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1776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>HIDESHEET</v>
      </c>
      <c r="C2" s="74" t="s">
        <v>7</v>
      </c>
      <c r="D2" s="181" t="str">
        <f>IF(E26="",F5&amp;"  ("&amp;F4&amp;") - NO "&amp;C25,F5&amp;"  ("&amp;F4&amp;") - "&amp;C25&amp;" PICK LIST")</f>
        <v>HOMEWARD BOUND TRINITY CENTER  (026066RA1)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"026066RA1"</f>
        <v>026066RA1</v>
      </c>
      <c r="E4" s="101" t="s">
        <v>37</v>
      </c>
      <c r="F4" s="105" t="str">
        <f>C4</f>
        <v>026066RA1</v>
      </c>
      <c r="K4" s="101" t="s">
        <v>42</v>
      </c>
      <c r="L4" s="104"/>
      <c r="M4" s="111">
        <f>SUM(I26:I27)</f>
        <v>0</v>
      </c>
    </row>
    <row r="5" spans="1:26" ht="18" hidden="1" customHeight="1" x14ac:dyDescent="0.25">
      <c r="B5" s="76" t="str">
        <f t="shared" si="0"/>
        <v>Hide</v>
      </c>
      <c r="C5" s="109" t="s">
        <v>1396</v>
      </c>
      <c r="E5" s="101" t="s">
        <v>36</v>
      </c>
      <c r="F5" s="112" t="s">
        <v>732</v>
      </c>
      <c r="K5" s="101" t="s">
        <v>43</v>
      </c>
      <c r="L5" s="104"/>
      <c r="M5" s="111">
        <f>ROUND(SUM(O26:O27),0)</f>
        <v>0</v>
      </c>
    </row>
    <row r="6" spans="1:26" ht="18" hidden="1" customHeight="1" x14ac:dyDescent="0.25">
      <c r="B6" s="76" t="str">
        <f t="shared" si="0"/>
        <v>Hide</v>
      </c>
      <c r="C6" s="109" t="s">
        <v>1397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ROUND(COUNT(O26:O27),0)</f>
        <v>0</v>
      </c>
      <c r="P6" s="101"/>
      <c r="W6" s="101" t="str">
        <f>"ESTIMATED "&amp;O25&amp;"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E16</f>
        <v>A108374|A108374|A108374|A108374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F16</f>
        <v>ITPN-207488|ITPN-207489|ITPN-207491|ITPN-207488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B15</f>
        <v>Hide</v>
      </c>
      <c r="C12" s="74" t="s">
        <v>1398</v>
      </c>
      <c r="E12" s="74" t="s">
        <v>1387</v>
      </c>
      <c r="F12" s="74" t="s">
        <v>1391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4" si="1">B16</f>
        <v>Hide</v>
      </c>
      <c r="C13" s="74" t="str">
        <f>"""Ceres NTFB Live"",""NTFB Live"",""5766"",""1"",""Invt. Pick"",""2"",""ITPN-207489"""</f>
        <v>"Ceres NTFB Live","NTFB Live","5766","1","Invt. Pick","2","ITPN-207489"</v>
      </c>
      <c r="E13" s="74" t="s">
        <v>1387</v>
      </c>
      <c r="F13" s="74" t="s">
        <v>1392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Pick"",""2"",""ITPN-207491"""</f>
        <v>"Ceres NTFB Live","NTFB Live","5766","1","Invt. Pick","2","ITPN-207491"</v>
      </c>
      <c r="E14" s="74" t="s">
        <v>1387</v>
      </c>
      <c r="F14" s="74" t="s">
        <v>1393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ref="B15:B25" si="2">B16</f>
        <v>Hide</v>
      </c>
      <c r="C15" s="74" t="s">
        <v>1387</v>
      </c>
      <c r="E15" s="74" t="str">
        <f>E12</f>
        <v>A108374</v>
      </c>
      <c r="F15" s="74" t="str">
        <f>F12</f>
        <v>ITPN-207488</v>
      </c>
      <c r="I15" s="98"/>
      <c r="J15" s="98"/>
      <c r="K15" s="98"/>
      <c r="L15" s="98"/>
      <c r="M15" s="98"/>
    </row>
    <row r="16" spans="1:26" hidden="1" x14ac:dyDescent="0.25">
      <c r="A16" s="74" t="s">
        <v>6</v>
      </c>
      <c r="B16" s="76" t="str">
        <f t="shared" si="2"/>
        <v>Hide</v>
      </c>
      <c r="E16" s="92" t="s">
        <v>1394</v>
      </c>
      <c r="F16" s="92" t="s">
        <v>1395</v>
      </c>
      <c r="I16" s="98"/>
      <c r="J16" s="98"/>
      <c r="K16" s="98"/>
      <c r="L16" s="98"/>
      <c r="M16" s="98"/>
    </row>
    <row r="17" spans="1:17" hidden="1" x14ac:dyDescent="0.25">
      <c r="B17" s="76" t="str">
        <f t="shared" si="2"/>
        <v>Hide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hidden="1" x14ac:dyDescent="0.25">
      <c r="B18" s="76" t="str">
        <f t="shared" si="2"/>
        <v>Hide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hidden="1" thickBot="1" x14ac:dyDescent="0.3">
      <c r="B19" s="76" t="str">
        <f t="shared" si="2"/>
        <v>Hide</v>
      </c>
      <c r="F19" s="190"/>
      <c r="G19" s="191"/>
      <c r="H19" s="191"/>
      <c r="I19" s="191"/>
      <c r="J19" s="191"/>
      <c r="K19" s="191"/>
      <c r="L19" s="191"/>
      <c r="M19" s="192"/>
    </row>
    <row r="20" spans="1:17" hidden="1" x14ac:dyDescent="0.25">
      <c r="B20" s="76" t="str">
        <f t="shared" si="2"/>
        <v>Hide</v>
      </c>
    </row>
    <row r="21" spans="1:17" hidden="1" x14ac:dyDescent="0.25">
      <c r="B21" s="76" t="str">
        <f t="shared" si="2"/>
        <v>Hide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hidden="1" x14ac:dyDescent="0.25">
      <c r="B22" s="76" t="str">
        <f t="shared" si="2"/>
        <v>Hide</v>
      </c>
      <c r="E22" s="101"/>
    </row>
    <row r="23" spans="1:17" hidden="1" x14ac:dyDescent="0.25">
      <c r="B23" s="76" t="str">
        <f t="shared" si="2"/>
        <v>Hide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hidden="1" x14ac:dyDescent="0.25">
      <c r="B24" s="76" t="str">
        <f t="shared" si="2"/>
        <v>Hide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hidden="1" customHeight="1" x14ac:dyDescent="0.25">
      <c r="A25" s="97"/>
      <c r="B25" s="76" t="str">
        <f t="shared" si="2"/>
        <v>Hide</v>
      </c>
      <c r="C25" s="117" t="s">
        <v>59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hidden="1" customHeight="1" x14ac:dyDescent="0.25">
      <c r="B26" s="92" t="str">
        <f>IF(I26="","Hide","Show")</f>
        <v>Hide</v>
      </c>
      <c r="C26" s="74" t="s">
        <v>179</v>
      </c>
      <c r="D26" s="89" t="s">
        <v>179</v>
      </c>
      <c r="E26" s="89" t="s">
        <v>179</v>
      </c>
      <c r="F26" s="89" t="s">
        <v>179</v>
      </c>
      <c r="G26" s="91" t="s">
        <v>180</v>
      </c>
      <c r="H26" s="90" t="s">
        <v>179</v>
      </c>
      <c r="I26" s="89" t="s">
        <v>179</v>
      </c>
      <c r="J26" s="89" t="s">
        <v>179</v>
      </c>
      <c r="K26" s="88"/>
      <c r="L26" s="87"/>
      <c r="M26" s="87"/>
      <c r="N26" s="85" t="s">
        <v>179</v>
      </c>
      <c r="O26" s="85" t="s">
        <v>179</v>
      </c>
      <c r="P26" s="85" t="s">
        <v>179</v>
      </c>
      <c r="Q26" s="86" t="s">
        <v>56</v>
      </c>
    </row>
    <row r="27" spans="1:17" hidden="1" x14ac:dyDescent="0.25">
      <c r="B27" s="74" t="str">
        <f>B26</f>
        <v>Hide</v>
      </c>
      <c r="H27" s="85"/>
      <c r="I27" s="85"/>
    </row>
    <row r="28" spans="1:17" ht="15.75" hidden="1" thickBot="1" x14ac:dyDescent="0.3">
      <c r="B28" s="74" t="str">
        <f>+B27</f>
        <v>Hide</v>
      </c>
      <c r="D28" s="193" t="str">
        <f>+"END OF "&amp;D2</f>
        <v>END OF HOMEWARD BOUND TRINITY CENTER  (026066RA1) - NO F4K</v>
      </c>
      <c r="E28" s="194"/>
      <c r="F28" s="194"/>
      <c r="G28" s="194"/>
      <c r="H28" s="194"/>
      <c r="I28" s="194"/>
      <c r="J28" s="194"/>
      <c r="K28" s="194"/>
      <c r="L28" s="194"/>
      <c r="M28" s="195"/>
    </row>
    <row r="29" spans="1:17" ht="15.75" thickBot="1" x14ac:dyDescent="0.3"/>
    <row r="30" spans="1:17" ht="80.099999999999994" customHeight="1" thickBot="1" x14ac:dyDescent="0.3">
      <c r="A30" s="76" t="s">
        <v>30</v>
      </c>
      <c r="D30" s="166" t="str">
        <f>+F6</f>
        <v>PICKUP</v>
      </c>
      <c r="E30" s="167"/>
      <c r="F30" s="167"/>
      <c r="G30" s="167"/>
      <c r="H30" s="167"/>
      <c r="I30" s="167"/>
      <c r="J30" s="167"/>
      <c r="K30" s="167"/>
      <c r="L30" s="167"/>
      <c r="M30" s="168"/>
    </row>
    <row r="31" spans="1:17" ht="36.75" x14ac:dyDescent="0.45">
      <c r="A31" s="76" t="s">
        <v>30</v>
      </c>
      <c r="D31" s="176" t="s">
        <v>12</v>
      </c>
      <c r="E31" s="177"/>
      <c r="F31" s="196" t="str">
        <f>+F4</f>
        <v>026066RA1</v>
      </c>
      <c r="G31" s="196"/>
      <c r="H31" s="196"/>
      <c r="I31" s="196"/>
      <c r="J31" s="196"/>
      <c r="K31" s="196"/>
      <c r="L31" s="196"/>
      <c r="M31" s="197"/>
    </row>
    <row r="32" spans="1:17" ht="37.5" customHeight="1" thickBot="1" x14ac:dyDescent="0.5">
      <c r="A32" s="76" t="s">
        <v>30</v>
      </c>
      <c r="D32" s="158" t="s">
        <v>5</v>
      </c>
      <c r="E32" s="159"/>
      <c r="F32" s="161" t="str">
        <f>+F5</f>
        <v>HOMEWARD BOUND TRINITY CENTER</v>
      </c>
      <c r="G32" s="161"/>
      <c r="H32" s="161"/>
      <c r="I32" s="161"/>
      <c r="J32" s="161"/>
      <c r="K32" s="161"/>
      <c r="L32" s="161"/>
      <c r="M32" s="162"/>
      <c r="N32" s="84"/>
      <c r="O32" s="84"/>
      <c r="P32" s="84"/>
    </row>
    <row r="33" spans="1:13" ht="33.75" hidden="1" thickBot="1" x14ac:dyDescent="0.45">
      <c r="A33" s="76" t="s">
        <v>19</v>
      </c>
      <c r="D33" s="172" t="s">
        <v>49</v>
      </c>
      <c r="E33" s="173"/>
      <c r="F33" s="82"/>
      <c r="G33" s="83"/>
      <c r="H33" s="82"/>
      <c r="I33" s="82"/>
      <c r="J33" s="82"/>
      <c r="K33" s="82"/>
      <c r="L33" s="82"/>
      <c r="M33" s="81"/>
    </row>
    <row r="34" spans="1:13" ht="30" hidden="1" customHeight="1" x14ac:dyDescent="0.25">
      <c r="A34" s="76" t="s">
        <v>19</v>
      </c>
      <c r="D34" s="80"/>
      <c r="E34" s="78"/>
      <c r="F34" s="174" t="s">
        <v>1387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>PICKUP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7">
    <mergeCell ref="D2:M2"/>
    <mergeCell ref="F17:M19"/>
    <mergeCell ref="D28:M28"/>
    <mergeCell ref="D30:M30"/>
    <mergeCell ref="D31:E31"/>
    <mergeCell ref="F31:M31"/>
    <mergeCell ref="D32:E32"/>
    <mergeCell ref="F32:M32"/>
    <mergeCell ref="D33:E33"/>
    <mergeCell ref="F34:M34"/>
    <mergeCell ref="D36:E36"/>
    <mergeCell ref="F36:M36"/>
    <mergeCell ref="D37:E37"/>
    <mergeCell ref="F37:M37"/>
    <mergeCell ref="D38:M38"/>
    <mergeCell ref="D39:M39"/>
    <mergeCell ref="D40:M40"/>
  </mergeCells>
  <conditionalFormatting sqref="F6">
    <cfRule type="cellIs" dxfId="39" priority="5" operator="equal">
      <formula>"DELIVER"</formula>
    </cfRule>
  </conditionalFormatting>
  <conditionalFormatting sqref="D30">
    <cfRule type="cellIs" dxfId="38" priority="4" operator="equal">
      <formula>"DELIVER"</formula>
    </cfRule>
  </conditionalFormatting>
  <conditionalFormatting sqref="D2:M2">
    <cfRule type="expression" dxfId="37" priority="3">
      <formula>$F$6="DELIVER"</formula>
    </cfRule>
  </conditionalFormatting>
  <conditionalFormatting sqref="G6">
    <cfRule type="expression" dxfId="36" priority="2">
      <formula>$F$6="DELIVER"</formula>
    </cfRule>
  </conditionalFormatting>
  <conditionalFormatting sqref="D39">
    <cfRule type="expression" dxfId="3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8" max="16383" man="1"/>
  </rowBreaks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1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1778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IF(F26="","HIDESHEET","")</f>
        <v>HIDESHEET</v>
      </c>
      <c r="C2" s="74" t="s">
        <v>7</v>
      </c>
      <c r="D2" s="181" t="str">
        <f>IF(E26="",F5&amp;"  ("&amp;F4&amp;") - NO "&amp;C25,F5&amp;"  ("&amp;F4&amp;") - "&amp;C25&amp;" PICK LIST")</f>
        <v>FBC ALLEN FOOD PANTRY  (026077P)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"026077P"</f>
        <v>026077P</v>
      </c>
      <c r="E4" s="101" t="s">
        <v>37</v>
      </c>
      <c r="F4" s="105" t="str">
        <f>C4</f>
        <v>026077P</v>
      </c>
      <c r="K4" s="101" t="s">
        <v>42</v>
      </c>
      <c r="L4" s="104"/>
      <c r="M4" s="111">
        <f>SUM(I26:I27)</f>
        <v>0</v>
      </c>
    </row>
    <row r="5" spans="1:26" ht="18" hidden="1" customHeight="1" x14ac:dyDescent="0.25">
      <c r="B5" s="76" t="str">
        <f t="shared" si="0"/>
        <v>Hide</v>
      </c>
      <c r="C5" s="109" t="s">
        <v>1414</v>
      </c>
      <c r="E5" s="101" t="s">
        <v>36</v>
      </c>
      <c r="F5" s="112" t="s">
        <v>1175</v>
      </c>
      <c r="K5" s="101" t="s">
        <v>43</v>
      </c>
      <c r="L5" s="104"/>
      <c r="M5" s="111">
        <f>ROUND(SUM(O26:O27),0)</f>
        <v>0</v>
      </c>
    </row>
    <row r="6" spans="1:26" ht="18" hidden="1" customHeight="1" x14ac:dyDescent="0.25">
      <c r="B6" s="76" t="str">
        <f t="shared" si="0"/>
        <v>Hide</v>
      </c>
      <c r="C6" s="109" t="s">
        <v>1415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ROUND(COUNT(O26:O27),0)</f>
        <v>0</v>
      </c>
      <c r="P6" s="101"/>
      <c r="W6" s="101" t="str">
        <f>"ESTIMATED "&amp;O25&amp;"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E16</f>
        <v>A108014|A108014|A108248|A108014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F16</f>
        <v>ITPN-207441|ITPN-207442|ITPN-207462|ITPN-207441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B15</f>
        <v>Hide</v>
      </c>
      <c r="C12" s="74" t="s">
        <v>1416</v>
      </c>
      <c r="E12" s="74" t="s">
        <v>1400</v>
      </c>
      <c r="F12" s="74" t="s">
        <v>1408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4" si="1">B16</f>
        <v>Hide</v>
      </c>
      <c r="C13" s="74" t="str">
        <f>"""Ceres NTFB Live"",""NTFB Live"",""5766"",""1"",""Invt. Pick"",""2"",""ITPN-207442"""</f>
        <v>"Ceres NTFB Live","NTFB Live","5766","1","Invt. Pick","2","ITPN-207442"</v>
      </c>
      <c r="E13" s="74" t="s">
        <v>1400</v>
      </c>
      <c r="F13" s="74" t="s">
        <v>1409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Pick"",""2"",""ITPN-207462"""</f>
        <v>"Ceres NTFB Live","NTFB Live","5766","1","Invt. Pick","2","ITPN-207462"</v>
      </c>
      <c r="E14" s="74" t="s">
        <v>1410</v>
      </c>
      <c r="F14" s="74" t="s">
        <v>1411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ref="B15:B25" si="2">B16</f>
        <v>Hide</v>
      </c>
      <c r="C15" s="74" t="s">
        <v>1400</v>
      </c>
      <c r="E15" s="74" t="str">
        <f>E12</f>
        <v>A108014</v>
      </c>
      <c r="F15" s="74" t="str">
        <f>F12</f>
        <v>ITPN-207441</v>
      </c>
      <c r="I15" s="98"/>
      <c r="J15" s="98"/>
      <c r="K15" s="98"/>
      <c r="L15" s="98"/>
      <c r="M15" s="98"/>
    </row>
    <row r="16" spans="1:26" hidden="1" x14ac:dyDescent="0.25">
      <c r="A16" s="74" t="s">
        <v>6</v>
      </c>
      <c r="B16" s="76" t="str">
        <f t="shared" si="2"/>
        <v>Hide</v>
      </c>
      <c r="E16" s="92" t="s">
        <v>1412</v>
      </c>
      <c r="F16" s="92" t="s">
        <v>1413</v>
      </c>
      <c r="I16" s="98"/>
      <c r="J16" s="98"/>
      <c r="K16" s="98"/>
      <c r="L16" s="98"/>
      <c r="M16" s="98"/>
    </row>
    <row r="17" spans="1:17" hidden="1" x14ac:dyDescent="0.25">
      <c r="B17" s="76" t="str">
        <f t="shared" si="2"/>
        <v>Hide</v>
      </c>
      <c r="E17" s="101" t="s">
        <v>20</v>
      </c>
      <c r="F17" s="184" t="s">
        <v>179</v>
      </c>
      <c r="G17" s="185"/>
      <c r="H17" s="185"/>
      <c r="I17" s="185"/>
      <c r="J17" s="185"/>
      <c r="K17" s="185"/>
      <c r="L17" s="185"/>
      <c r="M17" s="186"/>
    </row>
    <row r="18" spans="1:17" hidden="1" x14ac:dyDescent="0.25">
      <c r="B18" s="76" t="str">
        <f t="shared" si="2"/>
        <v>Hide</v>
      </c>
      <c r="F18" s="187"/>
      <c r="G18" s="188"/>
      <c r="H18" s="188"/>
      <c r="I18" s="188"/>
      <c r="J18" s="188"/>
      <c r="K18" s="188"/>
      <c r="L18" s="188"/>
      <c r="M18" s="189"/>
    </row>
    <row r="19" spans="1:17" ht="15.75" hidden="1" thickBot="1" x14ac:dyDescent="0.3">
      <c r="B19" s="76" t="str">
        <f t="shared" si="2"/>
        <v>Hide</v>
      </c>
      <c r="F19" s="190"/>
      <c r="G19" s="191"/>
      <c r="H19" s="191"/>
      <c r="I19" s="191"/>
      <c r="J19" s="191"/>
      <c r="K19" s="191"/>
      <c r="L19" s="191"/>
      <c r="M19" s="192"/>
    </row>
    <row r="20" spans="1:17" hidden="1" x14ac:dyDescent="0.25">
      <c r="B20" s="76" t="str">
        <f t="shared" si="2"/>
        <v>Hide</v>
      </c>
    </row>
    <row r="21" spans="1:17" hidden="1" x14ac:dyDescent="0.25">
      <c r="B21" s="76" t="str">
        <f t="shared" si="2"/>
        <v>Hide</v>
      </c>
      <c r="E21" s="101" t="s">
        <v>33</v>
      </c>
      <c r="F21" s="100"/>
      <c r="G21" s="102"/>
      <c r="H21" s="101" t="s">
        <v>53</v>
      </c>
      <c r="I21" s="100"/>
      <c r="J21" s="100"/>
      <c r="K21" s="100"/>
    </row>
    <row r="22" spans="1:17" hidden="1" x14ac:dyDescent="0.25">
      <c r="B22" s="76" t="str">
        <f t="shared" si="2"/>
        <v>Hide</v>
      </c>
      <c r="E22" s="101"/>
    </row>
    <row r="23" spans="1:17" hidden="1" x14ac:dyDescent="0.25">
      <c r="B23" s="76" t="str">
        <f t="shared" si="2"/>
        <v>Hide</v>
      </c>
      <c r="E23" s="101" t="s">
        <v>32</v>
      </c>
      <c r="F23" s="100"/>
      <c r="G23" s="102"/>
      <c r="H23" s="101" t="s">
        <v>54</v>
      </c>
      <c r="I23" s="100"/>
      <c r="J23" s="100"/>
      <c r="K23" s="100"/>
    </row>
    <row r="24" spans="1:17" hidden="1" x14ac:dyDescent="0.25">
      <c r="B24" s="76" t="str">
        <f t="shared" si="2"/>
        <v>Hide</v>
      </c>
      <c r="C24" s="74" t="s">
        <v>52</v>
      </c>
      <c r="D24" s="74" t="s">
        <v>52</v>
      </c>
      <c r="F24" s="99"/>
      <c r="I24" s="98"/>
      <c r="J24" s="98"/>
      <c r="K24" s="98"/>
      <c r="L24" s="98"/>
      <c r="M24" s="98"/>
    </row>
    <row r="25" spans="1:17" s="75" customFormat="1" ht="15.95" hidden="1" customHeight="1" x14ac:dyDescent="0.25">
      <c r="A25" s="97"/>
      <c r="B25" s="76" t="str">
        <f t="shared" si="2"/>
        <v>Hide</v>
      </c>
      <c r="C25" s="117" t="s">
        <v>59</v>
      </c>
      <c r="D25" s="94" t="s">
        <v>28</v>
      </c>
      <c r="E25" s="94" t="s">
        <v>26</v>
      </c>
      <c r="F25" s="94" t="s">
        <v>29</v>
      </c>
      <c r="G25" s="94" t="s">
        <v>57</v>
      </c>
      <c r="H25" s="94" t="s">
        <v>27</v>
      </c>
      <c r="I25" s="94" t="s">
        <v>25</v>
      </c>
      <c r="J25" s="94" t="s">
        <v>10</v>
      </c>
      <c r="K25" s="94" t="s">
        <v>24</v>
      </c>
      <c r="L25" s="95"/>
      <c r="M25" s="94" t="s">
        <v>31</v>
      </c>
      <c r="N25" s="93" t="s">
        <v>21</v>
      </c>
      <c r="O25" s="93" t="s">
        <v>22</v>
      </c>
      <c r="P25" s="93" t="s">
        <v>23</v>
      </c>
      <c r="Q25" s="93"/>
    </row>
    <row r="26" spans="1:17" ht="24.95" hidden="1" customHeight="1" x14ac:dyDescent="0.25">
      <c r="B26" s="92" t="str">
        <f>IF(I26="","Hide","Show")</f>
        <v>Hide</v>
      </c>
      <c r="C26" s="74" t="s">
        <v>179</v>
      </c>
      <c r="D26" s="89" t="s">
        <v>179</v>
      </c>
      <c r="E26" s="89" t="s">
        <v>179</v>
      </c>
      <c r="F26" s="89" t="s">
        <v>179</v>
      </c>
      <c r="G26" s="91" t="s">
        <v>180</v>
      </c>
      <c r="H26" s="90" t="s">
        <v>179</v>
      </c>
      <c r="I26" s="89" t="s">
        <v>179</v>
      </c>
      <c r="J26" s="89" t="s">
        <v>179</v>
      </c>
      <c r="K26" s="88"/>
      <c r="L26" s="87"/>
      <c r="M26" s="87"/>
      <c r="N26" s="85" t="s">
        <v>179</v>
      </c>
      <c r="O26" s="85" t="s">
        <v>179</v>
      </c>
      <c r="P26" s="85" t="s">
        <v>179</v>
      </c>
      <c r="Q26" s="86" t="s">
        <v>56</v>
      </c>
    </row>
    <row r="27" spans="1:17" hidden="1" x14ac:dyDescent="0.25">
      <c r="B27" s="74" t="str">
        <f>B26</f>
        <v>Hide</v>
      </c>
      <c r="H27" s="85"/>
      <c r="I27" s="85"/>
    </row>
    <row r="28" spans="1:17" ht="15.75" hidden="1" thickBot="1" x14ac:dyDescent="0.3">
      <c r="B28" s="74" t="str">
        <f>+B27</f>
        <v>Hide</v>
      </c>
      <c r="D28" s="193" t="str">
        <f>+"END OF "&amp;D2</f>
        <v>END OF FBC ALLEN FOOD PANTRY  (026077P) - NO F4K</v>
      </c>
      <c r="E28" s="194"/>
      <c r="F28" s="194"/>
      <c r="G28" s="194"/>
      <c r="H28" s="194"/>
      <c r="I28" s="194"/>
      <c r="J28" s="194"/>
      <c r="K28" s="194"/>
      <c r="L28" s="194"/>
      <c r="M28" s="195"/>
    </row>
    <row r="29" spans="1:17" ht="15.75" thickBot="1" x14ac:dyDescent="0.3"/>
    <row r="30" spans="1:17" ht="80.099999999999994" customHeight="1" thickBot="1" x14ac:dyDescent="0.3">
      <c r="A30" s="76" t="s">
        <v>30</v>
      </c>
      <c r="D30" s="166" t="str">
        <f>+F6</f>
        <v>DELIVER</v>
      </c>
      <c r="E30" s="167"/>
      <c r="F30" s="167"/>
      <c r="G30" s="167"/>
      <c r="H30" s="167"/>
      <c r="I30" s="167"/>
      <c r="J30" s="167"/>
      <c r="K30" s="167"/>
      <c r="L30" s="167"/>
      <c r="M30" s="168"/>
    </row>
    <row r="31" spans="1:17" ht="36.75" x14ac:dyDescent="0.45">
      <c r="A31" s="76" t="s">
        <v>30</v>
      </c>
      <c r="D31" s="176" t="s">
        <v>12</v>
      </c>
      <c r="E31" s="177"/>
      <c r="F31" s="196" t="str">
        <f>+F4</f>
        <v>026077P</v>
      </c>
      <c r="G31" s="196"/>
      <c r="H31" s="196"/>
      <c r="I31" s="196"/>
      <c r="J31" s="196"/>
      <c r="K31" s="196"/>
      <c r="L31" s="196"/>
      <c r="M31" s="197"/>
    </row>
    <row r="32" spans="1:17" ht="37.5" customHeight="1" thickBot="1" x14ac:dyDescent="0.5">
      <c r="A32" s="76" t="s">
        <v>30</v>
      </c>
      <c r="D32" s="158" t="s">
        <v>5</v>
      </c>
      <c r="E32" s="159"/>
      <c r="F32" s="161" t="str">
        <f>+F5</f>
        <v>FBC ALLEN FOOD PANTRY</v>
      </c>
      <c r="G32" s="161"/>
      <c r="H32" s="161"/>
      <c r="I32" s="161"/>
      <c r="J32" s="161"/>
      <c r="K32" s="161"/>
      <c r="L32" s="161"/>
      <c r="M32" s="162"/>
      <c r="N32" s="84"/>
      <c r="O32" s="84"/>
      <c r="P32" s="84"/>
    </row>
    <row r="33" spans="1:13" ht="33.75" hidden="1" thickBot="1" x14ac:dyDescent="0.45">
      <c r="A33" s="76" t="s">
        <v>19</v>
      </c>
      <c r="D33" s="172" t="s">
        <v>49</v>
      </c>
      <c r="E33" s="173"/>
      <c r="F33" s="82"/>
      <c r="G33" s="83"/>
      <c r="H33" s="82"/>
      <c r="I33" s="82"/>
      <c r="J33" s="82"/>
      <c r="K33" s="82"/>
      <c r="L33" s="82"/>
      <c r="M33" s="81"/>
    </row>
    <row r="34" spans="1:13" ht="30" hidden="1" customHeight="1" x14ac:dyDescent="0.25">
      <c r="A34" s="76" t="s">
        <v>19</v>
      </c>
      <c r="D34" s="80"/>
      <c r="E34" s="78"/>
      <c r="F34" s="174" t="s">
        <v>1400</v>
      </c>
      <c r="G34" s="174"/>
      <c r="H34" s="174"/>
      <c r="I34" s="174"/>
      <c r="J34" s="174"/>
      <c r="K34" s="174"/>
      <c r="L34" s="174"/>
      <c r="M34" s="175"/>
    </row>
    <row r="35" spans="1:13" ht="30" hidden="1" customHeight="1" x14ac:dyDescent="0.25">
      <c r="A35" s="76" t="s">
        <v>184</v>
      </c>
      <c r="D35" s="80"/>
      <c r="E35" s="78"/>
      <c r="F35" s="174" t="str">
        <f>"A108248"</f>
        <v>A108248</v>
      </c>
      <c r="G35" s="174"/>
      <c r="H35" s="174"/>
      <c r="I35" s="174"/>
      <c r="J35" s="174"/>
      <c r="K35" s="174"/>
      <c r="L35" s="174"/>
      <c r="M35" s="175"/>
    </row>
    <row r="36" spans="1:13" ht="15.75" hidden="1" customHeight="1" thickBot="1" x14ac:dyDescent="0.3">
      <c r="A36" s="76" t="s">
        <v>19</v>
      </c>
      <c r="D36" s="80"/>
      <c r="E36" s="78"/>
      <c r="F36" s="78"/>
      <c r="G36" s="79"/>
      <c r="H36" s="78"/>
      <c r="I36" s="78"/>
      <c r="J36" s="78"/>
      <c r="K36" s="78"/>
      <c r="L36" s="78"/>
      <c r="M36" s="77"/>
    </row>
    <row r="37" spans="1:13" ht="36.75" x14ac:dyDescent="0.45">
      <c r="A37" s="76" t="s">
        <v>30</v>
      </c>
      <c r="D37" s="176" t="s">
        <v>50</v>
      </c>
      <c r="E37" s="177"/>
      <c r="F37" s="178">
        <f>+F7</f>
        <v>42612</v>
      </c>
      <c r="G37" s="179"/>
      <c r="H37" s="179"/>
      <c r="I37" s="179"/>
      <c r="J37" s="179"/>
      <c r="K37" s="179"/>
      <c r="L37" s="179"/>
      <c r="M37" s="180"/>
    </row>
    <row r="38" spans="1:13" ht="37.5" thickBot="1" x14ac:dyDescent="0.5">
      <c r="A38" s="76" t="s">
        <v>30</v>
      </c>
      <c r="D38" s="158" t="s">
        <v>32</v>
      </c>
      <c r="E38" s="159"/>
      <c r="F38" s="160"/>
      <c r="G38" s="161"/>
      <c r="H38" s="161"/>
      <c r="I38" s="161"/>
      <c r="J38" s="161"/>
      <c r="K38" s="161"/>
      <c r="L38" s="161"/>
      <c r="M38" s="162"/>
    </row>
    <row r="39" spans="1:13" ht="80.099999999999994" customHeight="1" thickBot="1" x14ac:dyDescent="0.3">
      <c r="A39" s="76" t="s">
        <v>30</v>
      </c>
      <c r="D39" s="163" t="s">
        <v>51</v>
      </c>
      <c r="E39" s="164"/>
      <c r="F39" s="164"/>
      <c r="G39" s="164"/>
      <c r="H39" s="164"/>
      <c r="I39" s="164"/>
      <c r="J39" s="164"/>
      <c r="K39" s="164"/>
      <c r="L39" s="164"/>
      <c r="M39" s="165"/>
    </row>
    <row r="40" spans="1:13" ht="90" customHeight="1" thickBot="1" x14ac:dyDescent="0.3">
      <c r="A40" s="76" t="s">
        <v>30</v>
      </c>
      <c r="D40" s="166" t="str">
        <f>IF(F6="DELIVER",G6,F6)</f>
        <v>COLLIN 1</v>
      </c>
      <c r="E40" s="167"/>
      <c r="F40" s="167"/>
      <c r="G40" s="167"/>
      <c r="H40" s="167"/>
      <c r="I40" s="167"/>
      <c r="J40" s="167"/>
      <c r="K40" s="167"/>
      <c r="L40" s="167"/>
      <c r="M40" s="168"/>
    </row>
    <row r="41" spans="1:13" ht="60" customHeight="1" thickBot="1" x14ac:dyDescent="0.3">
      <c r="A41" s="76" t="s">
        <v>30</v>
      </c>
      <c r="D41" s="169" t="s">
        <v>55</v>
      </c>
      <c r="E41" s="170"/>
      <c r="F41" s="170"/>
      <c r="G41" s="170"/>
      <c r="H41" s="170"/>
      <c r="I41" s="170"/>
      <c r="J41" s="170"/>
      <c r="K41" s="170"/>
      <c r="L41" s="170"/>
      <c r="M41" s="171"/>
    </row>
  </sheetData>
  <mergeCells count="18">
    <mergeCell ref="D37:E37"/>
    <mergeCell ref="F37:M37"/>
    <mergeCell ref="D2:M2"/>
    <mergeCell ref="F17:M19"/>
    <mergeCell ref="D28:M28"/>
    <mergeCell ref="D30:M30"/>
    <mergeCell ref="D31:E31"/>
    <mergeCell ref="F31:M31"/>
    <mergeCell ref="F35:M35"/>
    <mergeCell ref="D32:E32"/>
    <mergeCell ref="F32:M32"/>
    <mergeCell ref="D33:E33"/>
    <mergeCell ref="F34:M34"/>
    <mergeCell ref="D38:E38"/>
    <mergeCell ref="F38:M38"/>
    <mergeCell ref="D39:M39"/>
    <mergeCell ref="D40:M40"/>
    <mergeCell ref="D41:M41"/>
  </mergeCells>
  <conditionalFormatting sqref="F6">
    <cfRule type="cellIs" dxfId="34" priority="5" operator="equal">
      <formula>"DELIVER"</formula>
    </cfRule>
  </conditionalFormatting>
  <conditionalFormatting sqref="D30">
    <cfRule type="cellIs" dxfId="33" priority="4" operator="equal">
      <formula>"DELIVER"</formula>
    </cfRule>
  </conditionalFormatting>
  <conditionalFormatting sqref="D2:M2">
    <cfRule type="expression" dxfId="32" priority="3">
      <formula>$F$6="DELIVER"</formula>
    </cfRule>
  </conditionalFormatting>
  <conditionalFormatting sqref="G6">
    <cfRule type="expression" dxfId="31" priority="2">
      <formula>$F$6="DELIVER"</formula>
    </cfRule>
  </conditionalFormatting>
  <conditionalFormatting sqref="D40">
    <cfRule type="expression" dxfId="3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8" max="16383" man="1"/>
  </rowBreaks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1780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DIVINE INSPIRATION MISSIONARY  (026284P)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"026284P"</f>
        <v>026284P</v>
      </c>
      <c r="E4" s="101" t="s">
        <v>37</v>
      </c>
      <c r="F4" s="105" t="str">
        <f>C4</f>
        <v>026284P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1427</v>
      </c>
      <c r="E5" s="101" t="s">
        <v>36</v>
      </c>
      <c r="F5" s="112" t="s">
        <v>1186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1428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A108361|A108361|A108361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ITPN-207486|ITPN-207487|ITPN-207486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1427</v>
      </c>
      <c r="E12" s="74" t="s">
        <v>1418</v>
      </c>
      <c r="F12" s="74" t="s">
        <v>1423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Pick"",""2"",""ITPN-207487"""</f>
        <v>"Ceres NTFB Live","NTFB Live","5766","1","Invt. Pick","2","ITPN-207487"</v>
      </c>
      <c r="E13" s="74" t="s">
        <v>1418</v>
      </c>
      <c r="F13" s="74" t="s">
        <v>1424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1418</v>
      </c>
      <c r="E14" s="74" t="str">
        <f>E12</f>
        <v>A108361</v>
      </c>
      <c r="F14" s="74" t="str">
        <f>F12</f>
        <v>ITPN-207486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1425</v>
      </c>
      <c r="F15" s="92" t="s">
        <v>1426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59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DIVINE INSPIRATION MISSIONARY  (026284P) - NO F4K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026284P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DIVINE INSPIRATION MISSIONARY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1418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29" priority="5" operator="equal">
      <formula>"DELIVER"</formula>
    </cfRule>
  </conditionalFormatting>
  <conditionalFormatting sqref="D29">
    <cfRule type="cellIs" dxfId="28" priority="4" operator="equal">
      <formula>"DELIVER"</formula>
    </cfRule>
  </conditionalFormatting>
  <conditionalFormatting sqref="D2:M2">
    <cfRule type="expression" dxfId="27" priority="3">
      <formula>$F$6="DELIVER"</formula>
    </cfRule>
  </conditionalFormatting>
  <conditionalFormatting sqref="G6">
    <cfRule type="expression" dxfId="26" priority="2">
      <formula>$F$6="DELIVER"</formula>
    </cfRule>
  </conditionalFormatting>
  <conditionalFormatting sqref="D38">
    <cfRule type="expression" dxfId="2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1782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CARVER HEIGHTS BAPTIST CHURCH  (026392P)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"026392P"</f>
        <v>026392P</v>
      </c>
      <c r="E4" s="101" t="s">
        <v>37</v>
      </c>
      <c r="F4" s="105" t="str">
        <f>C4</f>
        <v>026392P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1445</v>
      </c>
      <c r="E5" s="101" t="s">
        <v>36</v>
      </c>
      <c r="F5" s="112" t="s">
        <v>731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755</v>
      </c>
      <c r="E6" s="101" t="s">
        <v>38</v>
      </c>
      <c r="F6" s="105" t="s">
        <v>60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A108405|A108487|A108405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ITPN-207498|ITPN-207510|ITPN-207498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1445</v>
      </c>
      <c r="E12" s="74" t="s">
        <v>1430</v>
      </c>
      <c r="F12" s="74" t="s">
        <v>1440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Pick"",""2"",""ITPN-207510"""</f>
        <v>"Ceres NTFB Live","NTFB Live","5766","1","Invt. Pick","2","ITPN-207510"</v>
      </c>
      <c r="E13" s="74" t="s">
        <v>1441</v>
      </c>
      <c r="F13" s="74" t="s">
        <v>1442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1430</v>
      </c>
      <c r="E14" s="74" t="str">
        <f>E12</f>
        <v>A108405</v>
      </c>
      <c r="F14" s="74" t="str">
        <f>F12</f>
        <v>ITPN-207498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1443</v>
      </c>
      <c r="F15" s="92" t="s">
        <v>1444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59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CARVER HEIGHTS BAPTIST CHURCH  (026392P) - NO F4K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DELIVER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026392P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CARVER HEIGHTS BAPTIST CHURCH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1430</v>
      </c>
      <c r="G33" s="174"/>
      <c r="H33" s="174"/>
      <c r="I33" s="174"/>
      <c r="J33" s="174"/>
      <c r="K33" s="174"/>
      <c r="L33" s="174"/>
      <c r="M33" s="175"/>
    </row>
    <row r="34" spans="1:13" ht="30" hidden="1" customHeight="1" x14ac:dyDescent="0.25">
      <c r="A34" s="76" t="s">
        <v>184</v>
      </c>
      <c r="D34" s="80"/>
      <c r="E34" s="78"/>
      <c r="F34" s="174" t="str">
        <f>"A108487"</f>
        <v>A108487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/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8">
    <mergeCell ref="D36:E36"/>
    <mergeCell ref="F36:M36"/>
    <mergeCell ref="D2:M2"/>
    <mergeCell ref="F16:M18"/>
    <mergeCell ref="D27:M27"/>
    <mergeCell ref="D29:M29"/>
    <mergeCell ref="D30:E30"/>
    <mergeCell ref="F30:M30"/>
    <mergeCell ref="F34:M34"/>
    <mergeCell ref="D31:E31"/>
    <mergeCell ref="F31:M31"/>
    <mergeCell ref="D32:E32"/>
    <mergeCell ref="F33:M33"/>
    <mergeCell ref="D37:E37"/>
    <mergeCell ref="F37:M37"/>
    <mergeCell ref="D38:M38"/>
    <mergeCell ref="D39:M39"/>
    <mergeCell ref="D40:M40"/>
  </mergeCells>
  <conditionalFormatting sqref="F6">
    <cfRule type="cellIs" dxfId="24" priority="5" operator="equal">
      <formula>"DELIVER"</formula>
    </cfRule>
  </conditionalFormatting>
  <conditionalFormatting sqref="D29">
    <cfRule type="cellIs" dxfId="23" priority="4" operator="equal">
      <formula>"DELIVER"</formula>
    </cfRule>
  </conditionalFormatting>
  <conditionalFormatting sqref="D2:M2">
    <cfRule type="expression" dxfId="22" priority="3">
      <formula>$F$6="DELIVER"</formula>
    </cfRule>
  </conditionalFormatting>
  <conditionalFormatting sqref="G6">
    <cfRule type="expression" dxfId="21" priority="2">
      <formula>$F$6="DELIVER"</formula>
    </cfRule>
  </conditionalFormatting>
  <conditionalFormatting sqref="D39">
    <cfRule type="expression" dxfId="2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1784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IF(F28="","HIDESHEET","")</f>
        <v>HIDESHEET</v>
      </c>
      <c r="C2" s="74" t="s">
        <v>7</v>
      </c>
      <c r="D2" s="181" t="str">
        <f>IF(E28="",F5&amp;"  ("&amp;F4&amp;") - NO "&amp;C27,F5&amp;"  ("&amp;F4&amp;") - "&amp;C27&amp;" PICK LIST")</f>
        <v>LIFESOURCE MINISTRIES  (026508P)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"026508P"</f>
        <v>026508P</v>
      </c>
      <c r="E4" s="101" t="s">
        <v>37</v>
      </c>
      <c r="F4" s="105" t="str">
        <f>C4</f>
        <v>026508P</v>
      </c>
      <c r="K4" s="101" t="s">
        <v>42</v>
      </c>
      <c r="L4" s="104"/>
      <c r="M4" s="111">
        <f>SUM(I28:I29)</f>
        <v>0</v>
      </c>
    </row>
    <row r="5" spans="1:26" ht="18" hidden="1" customHeight="1" x14ac:dyDescent="0.25">
      <c r="B5" s="76" t="str">
        <f t="shared" si="0"/>
        <v>Hide</v>
      </c>
      <c r="C5" s="109" t="s">
        <v>1447</v>
      </c>
      <c r="E5" s="101" t="s">
        <v>36</v>
      </c>
      <c r="F5" s="112" t="s">
        <v>1176</v>
      </c>
      <c r="K5" s="101" t="s">
        <v>43</v>
      </c>
      <c r="L5" s="104"/>
      <c r="M5" s="111">
        <f>ROUND(SUM(O28:O29),0)</f>
        <v>0</v>
      </c>
    </row>
    <row r="6" spans="1:26" ht="18" hidden="1" customHeight="1" x14ac:dyDescent="0.25">
      <c r="B6" s="76" t="str">
        <f t="shared" si="0"/>
        <v>Hide</v>
      </c>
      <c r="C6" s="109" t="s">
        <v>1448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ROUND(COUNT(O28:O29),0)</f>
        <v>0</v>
      </c>
      <c r="P6" s="101"/>
      <c r="W6" s="101" t="str">
        <f>"ESTIMATED "&amp;O27&amp;"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E18</f>
        <v>A107897|A107899|A108201|A108323|A108323|A107897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F18</f>
        <v>ITPN-207430|ITPN-207431|ITPN-207451|ITPN-207467|ITPN-207468|ITPN-207430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B17</f>
        <v>Hide</v>
      </c>
      <c r="C12" s="74" t="s">
        <v>1447</v>
      </c>
      <c r="E12" s="74" t="str">
        <f>"A107897"</f>
        <v>A107897</v>
      </c>
      <c r="F12" s="74" t="str">
        <f>"ITPN-207430"</f>
        <v>ITPN-207430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16" si="1">B18</f>
        <v>Hide</v>
      </c>
      <c r="C13" s="74" t="str">
        <f>"""Ceres NTFB Live"",""NTFB Live"",""5766"",""1"",""Invt. Pick"",""2"",""ITPN-207431"""</f>
        <v>"Ceres NTFB Live","NTFB Live","5766","1","Invt. Pick","2","ITPN-207431"</v>
      </c>
      <c r="E13" s="74" t="str">
        <f>"A107899"</f>
        <v>A107899</v>
      </c>
      <c r="F13" s="74" t="str">
        <f>"ITPN-207431"</f>
        <v>ITPN-207431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Pick"",""2"",""ITPN-207451"""</f>
        <v>"Ceres NTFB Live","NTFB Live","5766","1","Invt. Pick","2","ITPN-207451"</v>
      </c>
      <c r="E14" s="74" t="str">
        <f>"A108201"</f>
        <v>A108201</v>
      </c>
      <c r="F14" s="74" t="str">
        <f>"ITPN-207451"</f>
        <v>ITPN-207451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Pick"",""2"",""ITPN-207467"""</f>
        <v>"Ceres NTFB Live","NTFB Live","5766","1","Invt. Pick","2","ITPN-207467"</v>
      </c>
      <c r="E15" s="74" t="str">
        <f>"A108323"</f>
        <v>A108323</v>
      </c>
      <c r="F15" s="74" t="str">
        <f>"ITPN-207467"</f>
        <v>ITPN-207467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Pick"",""2"",""ITPN-207468"""</f>
        <v>"Ceres NTFB Live","NTFB Live","5766","1","Invt. Pick","2","ITPN-207468"</v>
      </c>
      <c r="E16" s="74" t="str">
        <f>"A108323"</f>
        <v>A108323</v>
      </c>
      <c r="F16" s="74" t="str">
        <f>"ITPN-207468"</f>
        <v>ITPN-207468</v>
      </c>
      <c r="I16" s="98"/>
      <c r="J16" s="98"/>
      <c r="K16" s="98"/>
      <c r="L16" s="98"/>
      <c r="M16" s="98"/>
    </row>
    <row r="17" spans="1:17" hidden="1" x14ac:dyDescent="0.25">
      <c r="A17" s="74" t="s">
        <v>6</v>
      </c>
      <c r="B17" s="76" t="str">
        <f t="shared" ref="B17:B27" si="2">B18</f>
        <v>Hide</v>
      </c>
      <c r="C17" s="74" t="s">
        <v>1452</v>
      </c>
      <c r="E17" s="74" t="str">
        <f>E12</f>
        <v>A107897</v>
      </c>
      <c r="F17" s="74" t="str">
        <f>F12</f>
        <v>ITPN-207430</v>
      </c>
      <c r="I17" s="98"/>
      <c r="J17" s="98"/>
      <c r="K17" s="98"/>
      <c r="L17" s="98"/>
      <c r="M17" s="98"/>
    </row>
    <row r="18" spans="1:17" hidden="1" x14ac:dyDescent="0.25">
      <c r="A18" s="74" t="s">
        <v>6</v>
      </c>
      <c r="B18" s="76" t="str">
        <f t="shared" si="2"/>
        <v>Hide</v>
      </c>
      <c r="E18" s="92" t="s">
        <v>1451</v>
      </c>
      <c r="F18" s="92" t="s">
        <v>1449</v>
      </c>
      <c r="I18" s="98"/>
      <c r="J18" s="98"/>
      <c r="K18" s="98"/>
      <c r="L18" s="98"/>
      <c r="M18" s="98"/>
    </row>
    <row r="19" spans="1:17" hidden="1" x14ac:dyDescent="0.25">
      <c r="B19" s="76" t="str">
        <f t="shared" si="2"/>
        <v>Hide</v>
      </c>
      <c r="E19" s="101" t="s">
        <v>20</v>
      </c>
      <c r="F19" s="184" t="s">
        <v>1450</v>
      </c>
      <c r="G19" s="185"/>
      <c r="H19" s="185"/>
      <c r="I19" s="185"/>
      <c r="J19" s="185"/>
      <c r="K19" s="185"/>
      <c r="L19" s="185"/>
      <c r="M19" s="186"/>
    </row>
    <row r="20" spans="1:17" hidden="1" x14ac:dyDescent="0.25">
      <c r="B20" s="76" t="str">
        <f t="shared" si="2"/>
        <v>Hide</v>
      </c>
      <c r="F20" s="187"/>
      <c r="G20" s="188"/>
      <c r="H20" s="188"/>
      <c r="I20" s="188"/>
      <c r="J20" s="188"/>
      <c r="K20" s="188"/>
      <c r="L20" s="188"/>
      <c r="M20" s="189"/>
    </row>
    <row r="21" spans="1:17" ht="15.75" hidden="1" thickBot="1" x14ac:dyDescent="0.3">
      <c r="B21" s="76" t="str">
        <f t="shared" si="2"/>
        <v>Hide</v>
      </c>
      <c r="F21" s="190"/>
      <c r="G21" s="191"/>
      <c r="H21" s="191"/>
      <c r="I21" s="191"/>
      <c r="J21" s="191"/>
      <c r="K21" s="191"/>
      <c r="L21" s="191"/>
      <c r="M21" s="192"/>
    </row>
    <row r="22" spans="1:17" hidden="1" x14ac:dyDescent="0.25">
      <c r="B22" s="76" t="str">
        <f t="shared" si="2"/>
        <v>Hide</v>
      </c>
    </row>
    <row r="23" spans="1:17" hidden="1" x14ac:dyDescent="0.25">
      <c r="B23" s="76" t="str">
        <f t="shared" si="2"/>
        <v>Hide</v>
      </c>
      <c r="E23" s="101" t="s">
        <v>33</v>
      </c>
      <c r="F23" s="100"/>
      <c r="G23" s="102"/>
      <c r="H23" s="101" t="s">
        <v>53</v>
      </c>
      <c r="I23" s="100"/>
      <c r="J23" s="100"/>
      <c r="K23" s="100"/>
    </row>
    <row r="24" spans="1:17" hidden="1" x14ac:dyDescent="0.25">
      <c r="B24" s="76" t="str">
        <f t="shared" si="2"/>
        <v>Hide</v>
      </c>
      <c r="E24" s="101"/>
    </row>
    <row r="25" spans="1:17" hidden="1" x14ac:dyDescent="0.25">
      <c r="B25" s="76" t="str">
        <f t="shared" si="2"/>
        <v>Hide</v>
      </c>
      <c r="E25" s="101" t="s">
        <v>32</v>
      </c>
      <c r="F25" s="100"/>
      <c r="G25" s="102"/>
      <c r="H25" s="101" t="s">
        <v>54</v>
      </c>
      <c r="I25" s="100"/>
      <c r="J25" s="100"/>
      <c r="K25" s="100"/>
    </row>
    <row r="26" spans="1:17" hidden="1" x14ac:dyDescent="0.25">
      <c r="B26" s="76" t="str">
        <f t="shared" si="2"/>
        <v>Hide</v>
      </c>
      <c r="C26" s="74" t="s">
        <v>52</v>
      </c>
      <c r="D26" s="74" t="s">
        <v>52</v>
      </c>
      <c r="F26" s="99"/>
      <c r="I26" s="98"/>
      <c r="J26" s="98"/>
      <c r="K26" s="98"/>
      <c r="L26" s="98"/>
      <c r="M26" s="98"/>
    </row>
    <row r="27" spans="1:17" s="75" customFormat="1" ht="15.95" hidden="1" customHeight="1" x14ac:dyDescent="0.25">
      <c r="A27" s="97"/>
      <c r="B27" s="76" t="str">
        <f t="shared" si="2"/>
        <v>Hide</v>
      </c>
      <c r="C27" s="117" t="s">
        <v>59</v>
      </c>
      <c r="D27" s="94" t="s">
        <v>28</v>
      </c>
      <c r="E27" s="94" t="s">
        <v>26</v>
      </c>
      <c r="F27" s="94" t="s">
        <v>29</v>
      </c>
      <c r="G27" s="94" t="s">
        <v>57</v>
      </c>
      <c r="H27" s="94" t="s">
        <v>27</v>
      </c>
      <c r="I27" s="94" t="s">
        <v>25</v>
      </c>
      <c r="J27" s="94" t="s">
        <v>10</v>
      </c>
      <c r="K27" s="94" t="s">
        <v>24</v>
      </c>
      <c r="L27" s="95"/>
      <c r="M27" s="94" t="s">
        <v>31</v>
      </c>
      <c r="N27" s="93" t="s">
        <v>21</v>
      </c>
      <c r="O27" s="93" t="s">
        <v>22</v>
      </c>
      <c r="P27" s="93" t="s">
        <v>23</v>
      </c>
      <c r="Q27" s="93"/>
    </row>
    <row r="28" spans="1:17" ht="24.95" hidden="1" customHeight="1" x14ac:dyDescent="0.25">
      <c r="B28" s="92" t="str">
        <f>IF(I28="","Hide","Show")</f>
        <v>Hide</v>
      </c>
      <c r="C28" s="74" t="s">
        <v>179</v>
      </c>
      <c r="D28" s="89" t="s">
        <v>179</v>
      </c>
      <c r="E28" s="89" t="s">
        <v>179</v>
      </c>
      <c r="F28" s="89" t="s">
        <v>179</v>
      </c>
      <c r="G28" s="91" t="s">
        <v>180</v>
      </c>
      <c r="H28" s="90" t="s">
        <v>179</v>
      </c>
      <c r="I28" s="89" t="s">
        <v>179</v>
      </c>
      <c r="J28" s="89" t="s">
        <v>179</v>
      </c>
      <c r="K28" s="88"/>
      <c r="L28" s="87"/>
      <c r="M28" s="87"/>
      <c r="N28" s="85" t="s">
        <v>179</v>
      </c>
      <c r="O28" s="85" t="s">
        <v>179</v>
      </c>
      <c r="P28" s="85" t="s">
        <v>179</v>
      </c>
      <c r="Q28" s="86" t="s">
        <v>56</v>
      </c>
    </row>
    <row r="29" spans="1:17" hidden="1" x14ac:dyDescent="0.25">
      <c r="B29" s="74" t="str">
        <f>B28</f>
        <v>Hide</v>
      </c>
      <c r="H29" s="85"/>
      <c r="I29" s="85"/>
    </row>
    <row r="30" spans="1:17" ht="15.75" hidden="1" thickBot="1" x14ac:dyDescent="0.3">
      <c r="B30" s="74" t="str">
        <f>+B29</f>
        <v>Hide</v>
      </c>
      <c r="D30" s="193" t="str">
        <f>+"END OF "&amp;D2</f>
        <v>END OF LIFESOURCE MINISTRIES  (026508P) - NO F4K</v>
      </c>
      <c r="E30" s="194"/>
      <c r="F30" s="194"/>
      <c r="G30" s="194"/>
      <c r="H30" s="194"/>
      <c r="I30" s="194"/>
      <c r="J30" s="194"/>
      <c r="K30" s="194"/>
      <c r="L30" s="194"/>
      <c r="M30" s="195"/>
    </row>
    <row r="31" spans="1:17" ht="15.75" thickBot="1" x14ac:dyDescent="0.3"/>
    <row r="32" spans="1:17" ht="80.099999999999994" customHeight="1" thickBot="1" x14ac:dyDescent="0.3">
      <c r="A32" s="76" t="s">
        <v>30</v>
      </c>
      <c r="D32" s="166" t="str">
        <f>+F6</f>
        <v>DELIVER</v>
      </c>
      <c r="E32" s="167"/>
      <c r="F32" s="167"/>
      <c r="G32" s="167"/>
      <c r="H32" s="167"/>
      <c r="I32" s="167"/>
      <c r="J32" s="167"/>
      <c r="K32" s="167"/>
      <c r="L32" s="167"/>
      <c r="M32" s="168"/>
    </row>
    <row r="33" spans="1:16" ht="36.75" x14ac:dyDescent="0.45">
      <c r="A33" s="76" t="s">
        <v>30</v>
      </c>
      <c r="D33" s="176" t="s">
        <v>12</v>
      </c>
      <c r="E33" s="177"/>
      <c r="F33" s="196" t="str">
        <f>+F4</f>
        <v>026508P</v>
      </c>
      <c r="G33" s="196"/>
      <c r="H33" s="196"/>
      <c r="I33" s="196"/>
      <c r="J33" s="196"/>
      <c r="K33" s="196"/>
      <c r="L33" s="196"/>
      <c r="M33" s="197"/>
    </row>
    <row r="34" spans="1:16" ht="37.5" customHeight="1" thickBot="1" x14ac:dyDescent="0.5">
      <c r="A34" s="76" t="s">
        <v>30</v>
      </c>
      <c r="D34" s="158" t="s">
        <v>5</v>
      </c>
      <c r="E34" s="159"/>
      <c r="F34" s="161" t="str">
        <f>+F5</f>
        <v>LIFESOURCE MINISTRIES</v>
      </c>
      <c r="G34" s="161"/>
      <c r="H34" s="161"/>
      <c r="I34" s="161"/>
      <c r="J34" s="161"/>
      <c r="K34" s="161"/>
      <c r="L34" s="161"/>
      <c r="M34" s="162"/>
      <c r="N34" s="84"/>
      <c r="O34" s="84"/>
      <c r="P34" s="84"/>
    </row>
    <row r="35" spans="1:16" ht="33.75" hidden="1" thickBot="1" x14ac:dyDescent="0.45">
      <c r="A35" s="76" t="s">
        <v>19</v>
      </c>
      <c r="D35" s="172" t="s">
        <v>49</v>
      </c>
      <c r="E35" s="173"/>
      <c r="F35" s="82"/>
      <c r="G35" s="83"/>
      <c r="H35" s="82"/>
      <c r="I35" s="82"/>
      <c r="J35" s="82"/>
      <c r="K35" s="82"/>
      <c r="L35" s="82"/>
      <c r="M35" s="81"/>
    </row>
    <row r="36" spans="1:16" ht="30" hidden="1" customHeight="1" x14ac:dyDescent="0.25">
      <c r="A36" s="76" t="s">
        <v>19</v>
      </c>
      <c r="D36" s="80"/>
      <c r="E36" s="78"/>
      <c r="F36" s="174" t="s">
        <v>1452</v>
      </c>
      <c r="G36" s="174"/>
      <c r="H36" s="174"/>
      <c r="I36" s="174"/>
      <c r="J36" s="174"/>
      <c r="K36" s="174"/>
      <c r="L36" s="174"/>
      <c r="M36" s="175"/>
    </row>
    <row r="37" spans="1:16" ht="30" hidden="1" customHeight="1" x14ac:dyDescent="0.25">
      <c r="A37" s="76" t="s">
        <v>184</v>
      </c>
      <c r="D37" s="80"/>
      <c r="E37" s="78"/>
      <c r="F37" s="174" t="str">
        <f>"A107899"</f>
        <v>A107899</v>
      </c>
      <c r="G37" s="174"/>
      <c r="H37" s="174"/>
      <c r="I37" s="174"/>
      <c r="J37" s="174"/>
      <c r="K37" s="174"/>
      <c r="L37" s="174"/>
      <c r="M37" s="175"/>
    </row>
    <row r="38" spans="1:16" ht="30" hidden="1" customHeight="1" x14ac:dyDescent="0.25">
      <c r="A38" s="76" t="s">
        <v>184</v>
      </c>
      <c r="D38" s="80"/>
      <c r="E38" s="78"/>
      <c r="F38" s="174" t="str">
        <f>"A108201"</f>
        <v>A108201</v>
      </c>
      <c r="G38" s="174"/>
      <c r="H38" s="174"/>
      <c r="I38" s="174"/>
      <c r="J38" s="174"/>
      <c r="K38" s="174"/>
      <c r="L38" s="174"/>
      <c r="M38" s="175"/>
    </row>
    <row r="39" spans="1:16" ht="30" hidden="1" customHeight="1" x14ac:dyDescent="0.25">
      <c r="A39" s="76" t="s">
        <v>184</v>
      </c>
      <c r="D39" s="80"/>
      <c r="E39" s="78"/>
      <c r="F39" s="174" t="str">
        <f>"A108323"</f>
        <v>A108323</v>
      </c>
      <c r="G39" s="174"/>
      <c r="H39" s="174"/>
      <c r="I39" s="174"/>
      <c r="J39" s="174"/>
      <c r="K39" s="174"/>
      <c r="L39" s="174"/>
      <c r="M39" s="175"/>
    </row>
    <row r="40" spans="1:16" ht="15.75" hidden="1" customHeight="1" thickBot="1" x14ac:dyDescent="0.3">
      <c r="A40" s="76" t="s">
        <v>19</v>
      </c>
      <c r="D40" s="80"/>
      <c r="E40" s="78"/>
      <c r="F40" s="78"/>
      <c r="G40" s="79"/>
      <c r="H40" s="78"/>
      <c r="I40" s="78"/>
      <c r="J40" s="78"/>
      <c r="K40" s="78"/>
      <c r="L40" s="78"/>
      <c r="M40" s="77"/>
    </row>
    <row r="41" spans="1:16" ht="36.75" x14ac:dyDescent="0.45">
      <c r="A41" s="76" t="s">
        <v>30</v>
      </c>
      <c r="D41" s="176" t="s">
        <v>50</v>
      </c>
      <c r="E41" s="177"/>
      <c r="F41" s="178">
        <f>+F7</f>
        <v>42612</v>
      </c>
      <c r="G41" s="179"/>
      <c r="H41" s="179"/>
      <c r="I41" s="179"/>
      <c r="J41" s="179"/>
      <c r="K41" s="179"/>
      <c r="L41" s="179"/>
      <c r="M41" s="180"/>
    </row>
    <row r="42" spans="1:16" ht="37.5" thickBot="1" x14ac:dyDescent="0.5">
      <c r="A42" s="76" t="s">
        <v>30</v>
      </c>
      <c r="D42" s="158" t="s">
        <v>32</v>
      </c>
      <c r="E42" s="159"/>
      <c r="F42" s="160"/>
      <c r="G42" s="161"/>
      <c r="H42" s="161"/>
      <c r="I42" s="161"/>
      <c r="J42" s="161"/>
      <c r="K42" s="161"/>
      <c r="L42" s="161"/>
      <c r="M42" s="162"/>
    </row>
    <row r="43" spans="1:16" ht="80.099999999999994" customHeight="1" thickBot="1" x14ac:dyDescent="0.3">
      <c r="A43" s="76" t="s">
        <v>30</v>
      </c>
      <c r="D43" s="163" t="s">
        <v>51</v>
      </c>
      <c r="E43" s="164"/>
      <c r="F43" s="164"/>
      <c r="G43" s="164"/>
      <c r="H43" s="164"/>
      <c r="I43" s="164"/>
      <c r="J43" s="164"/>
      <c r="K43" s="164"/>
      <c r="L43" s="164"/>
      <c r="M43" s="165"/>
    </row>
    <row r="44" spans="1:16" ht="90" customHeight="1" thickBot="1" x14ac:dyDescent="0.3">
      <c r="A44" s="76" t="s">
        <v>30</v>
      </c>
      <c r="D44" s="166" t="str">
        <f>IF(F6="DELIVER",G6,F6)</f>
        <v>COLLIN 1</v>
      </c>
      <c r="E44" s="167"/>
      <c r="F44" s="167"/>
      <c r="G44" s="167"/>
      <c r="H44" s="167"/>
      <c r="I44" s="167"/>
      <c r="J44" s="167"/>
      <c r="K44" s="167"/>
      <c r="L44" s="167"/>
      <c r="M44" s="168"/>
    </row>
    <row r="45" spans="1:16" ht="60" customHeight="1" thickBot="1" x14ac:dyDescent="0.3">
      <c r="A45" s="76" t="s">
        <v>30</v>
      </c>
      <c r="D45" s="169" t="s">
        <v>55</v>
      </c>
      <c r="E45" s="170"/>
      <c r="F45" s="170"/>
      <c r="G45" s="170"/>
      <c r="H45" s="170"/>
      <c r="I45" s="170"/>
      <c r="J45" s="170"/>
      <c r="K45" s="170"/>
      <c r="L45" s="170"/>
      <c r="M45" s="171"/>
    </row>
  </sheetData>
  <mergeCells count="20">
    <mergeCell ref="D41:E41"/>
    <mergeCell ref="F41:M41"/>
    <mergeCell ref="D2:M2"/>
    <mergeCell ref="F19:M21"/>
    <mergeCell ref="D30:M30"/>
    <mergeCell ref="D32:M32"/>
    <mergeCell ref="D33:E33"/>
    <mergeCell ref="F33:M33"/>
    <mergeCell ref="F37:M37"/>
    <mergeCell ref="F38:M38"/>
    <mergeCell ref="F39:M39"/>
    <mergeCell ref="D34:E34"/>
    <mergeCell ref="F34:M34"/>
    <mergeCell ref="D35:E35"/>
    <mergeCell ref="F36:M36"/>
    <mergeCell ref="D42:E42"/>
    <mergeCell ref="F42:M42"/>
    <mergeCell ref="D43:M43"/>
    <mergeCell ref="D44:M44"/>
    <mergeCell ref="D45:M45"/>
  </mergeCells>
  <conditionalFormatting sqref="F6">
    <cfRule type="cellIs" dxfId="19" priority="5" operator="equal">
      <formula>"DELIVER"</formula>
    </cfRule>
  </conditionalFormatting>
  <conditionalFormatting sqref="D32">
    <cfRule type="cellIs" dxfId="18" priority="4" operator="equal">
      <formula>"DELIVER"</formula>
    </cfRule>
  </conditionalFormatting>
  <conditionalFormatting sqref="D2:M2">
    <cfRule type="expression" dxfId="17" priority="3">
      <formula>$F$6="DELIVER"</formula>
    </cfRule>
  </conditionalFormatting>
  <conditionalFormatting sqref="G6">
    <cfRule type="expression" dxfId="16" priority="2">
      <formula>$F$6="DELIVER"</formula>
    </cfRule>
  </conditionalFormatting>
  <conditionalFormatting sqref="D44">
    <cfRule type="expression" dxfId="1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0" max="16383" man="1"/>
  </rowBreaks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1786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SOUL FOR CHRIST MINISTRY, INC  (026536RA)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"026536RA"</f>
        <v>026536RA</v>
      </c>
      <c r="E4" s="101" t="s">
        <v>37</v>
      </c>
      <c r="F4" s="105" t="str">
        <f>C4</f>
        <v>026536RA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1465</v>
      </c>
      <c r="E5" s="101" t="s">
        <v>36</v>
      </c>
      <c r="F5" s="112" t="s">
        <v>733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757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A108241|A108406|A108241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ITPN-207461|ITPN-207499|ITPN-207461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1465</v>
      </c>
      <c r="E12" s="74" t="s">
        <v>1459</v>
      </c>
      <c r="F12" s="74" t="s">
        <v>1460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Pick"",""2"",""ITPN-207499"""</f>
        <v>"Ceres NTFB Live","NTFB Live","5766","1","Invt. Pick","2","ITPN-207499"</v>
      </c>
      <c r="E13" s="74" t="s">
        <v>1461</v>
      </c>
      <c r="F13" s="74" t="s">
        <v>1462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1459</v>
      </c>
      <c r="E14" s="74" t="str">
        <f>E12</f>
        <v>A108241</v>
      </c>
      <c r="F14" s="74" t="str">
        <f>F12</f>
        <v>ITPN-207461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1463</v>
      </c>
      <c r="F15" s="92" t="s">
        <v>1464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59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SOUL FOR CHRIST MINISTRY, INC  (026536RA) - NO F4K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026536RA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SOUL FOR CHRIST MINISTRY, INC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1459</v>
      </c>
      <c r="G33" s="174"/>
      <c r="H33" s="174"/>
      <c r="I33" s="174"/>
      <c r="J33" s="174"/>
      <c r="K33" s="174"/>
      <c r="L33" s="174"/>
      <c r="M33" s="175"/>
    </row>
    <row r="34" spans="1:13" ht="30" hidden="1" customHeight="1" x14ac:dyDescent="0.25">
      <c r="A34" s="76" t="s">
        <v>184</v>
      </c>
      <c r="D34" s="80"/>
      <c r="E34" s="78"/>
      <c r="F34" s="174" t="str">
        <f>"A108406"</f>
        <v>A108406</v>
      </c>
      <c r="G34" s="174"/>
      <c r="H34" s="174"/>
      <c r="I34" s="174"/>
      <c r="J34" s="174"/>
      <c r="K34" s="174"/>
      <c r="L34" s="174"/>
      <c r="M34" s="175"/>
    </row>
    <row r="35" spans="1:13" ht="15.75" hidden="1" customHeight="1" thickBot="1" x14ac:dyDescent="0.3">
      <c r="A35" s="76" t="s">
        <v>19</v>
      </c>
      <c r="D35" s="80"/>
      <c r="E35" s="78"/>
      <c r="F35" s="78"/>
      <c r="G35" s="79"/>
      <c r="H35" s="78"/>
      <c r="I35" s="78"/>
      <c r="J35" s="78"/>
      <c r="K35" s="78"/>
      <c r="L35" s="78"/>
      <c r="M35" s="77"/>
    </row>
    <row r="36" spans="1:13" ht="36.75" x14ac:dyDescent="0.45">
      <c r="A36" s="76" t="s">
        <v>30</v>
      </c>
      <c r="D36" s="176" t="s">
        <v>50</v>
      </c>
      <c r="E36" s="177"/>
      <c r="F36" s="178">
        <f>+F7</f>
        <v>42612</v>
      </c>
      <c r="G36" s="179"/>
      <c r="H36" s="179"/>
      <c r="I36" s="179"/>
      <c r="J36" s="179"/>
      <c r="K36" s="179"/>
      <c r="L36" s="179"/>
      <c r="M36" s="180"/>
    </row>
    <row r="37" spans="1:13" ht="37.5" thickBot="1" x14ac:dyDescent="0.5">
      <c r="A37" s="76" t="s">
        <v>30</v>
      </c>
      <c r="D37" s="158" t="s">
        <v>32</v>
      </c>
      <c r="E37" s="159"/>
      <c r="F37" s="160"/>
      <c r="G37" s="161"/>
      <c r="H37" s="161"/>
      <c r="I37" s="161"/>
      <c r="J37" s="161"/>
      <c r="K37" s="161"/>
      <c r="L37" s="161"/>
      <c r="M37" s="162"/>
    </row>
    <row r="38" spans="1:13" ht="80.099999999999994" customHeight="1" thickBot="1" x14ac:dyDescent="0.3">
      <c r="A38" s="76" t="s">
        <v>30</v>
      </c>
      <c r="D38" s="163" t="s">
        <v>51</v>
      </c>
      <c r="E38" s="164"/>
      <c r="F38" s="164"/>
      <c r="G38" s="164"/>
      <c r="H38" s="164"/>
      <c r="I38" s="164"/>
      <c r="J38" s="164"/>
      <c r="K38" s="164"/>
      <c r="L38" s="164"/>
      <c r="M38" s="165"/>
    </row>
    <row r="39" spans="1:13" ht="90" customHeight="1" thickBot="1" x14ac:dyDescent="0.3">
      <c r="A39" s="76" t="s">
        <v>30</v>
      </c>
      <c r="D39" s="166" t="str">
        <f>IF(F6="DELIVER",G6,F6)</f>
        <v>PICKUP</v>
      </c>
      <c r="E39" s="167"/>
      <c r="F39" s="167"/>
      <c r="G39" s="167"/>
      <c r="H39" s="167"/>
      <c r="I39" s="167"/>
      <c r="J39" s="167"/>
      <c r="K39" s="167"/>
      <c r="L39" s="167"/>
      <c r="M39" s="168"/>
    </row>
    <row r="40" spans="1:13" ht="60" customHeight="1" thickBot="1" x14ac:dyDescent="0.3">
      <c r="A40" s="76" t="s">
        <v>30</v>
      </c>
      <c r="D40" s="169" t="s">
        <v>55</v>
      </c>
      <c r="E40" s="170"/>
      <c r="F40" s="170"/>
      <c r="G40" s="170"/>
      <c r="H40" s="170"/>
      <c r="I40" s="170"/>
      <c r="J40" s="170"/>
      <c r="K40" s="170"/>
      <c r="L40" s="170"/>
      <c r="M40" s="171"/>
    </row>
  </sheetData>
  <mergeCells count="18">
    <mergeCell ref="D36:E36"/>
    <mergeCell ref="F36:M36"/>
    <mergeCell ref="D2:M2"/>
    <mergeCell ref="F16:M18"/>
    <mergeCell ref="D27:M27"/>
    <mergeCell ref="D29:M29"/>
    <mergeCell ref="D30:E30"/>
    <mergeCell ref="F30:M30"/>
    <mergeCell ref="F34:M34"/>
    <mergeCell ref="D31:E31"/>
    <mergeCell ref="F31:M31"/>
    <mergeCell ref="D32:E32"/>
    <mergeCell ref="F33:M33"/>
    <mergeCell ref="D37:E37"/>
    <mergeCell ref="F37:M37"/>
    <mergeCell ref="D38:M38"/>
    <mergeCell ref="D39:M39"/>
    <mergeCell ref="D40:M40"/>
  </mergeCells>
  <conditionalFormatting sqref="F6">
    <cfRule type="cellIs" dxfId="14" priority="5" operator="equal">
      <formula>"DELIVER"</formula>
    </cfRule>
  </conditionalFormatting>
  <conditionalFormatting sqref="D29">
    <cfRule type="cellIs" dxfId="13" priority="4" operator="equal">
      <formula>"DELIVER"</formula>
    </cfRule>
  </conditionalFormatting>
  <conditionalFormatting sqref="D2:M2">
    <cfRule type="expression" dxfId="12" priority="3">
      <formula>$F$6="DELIVER"</formula>
    </cfRule>
  </conditionalFormatting>
  <conditionalFormatting sqref="G6">
    <cfRule type="expression" dxfId="11" priority="2">
      <formula>$F$6="DELIVER"</formula>
    </cfRule>
  </conditionalFormatting>
  <conditionalFormatting sqref="D39">
    <cfRule type="expression" dxfId="1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1788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IF(F25="","HIDESHEET","")</f>
        <v>HIDESHEET</v>
      </c>
      <c r="C2" s="74" t="s">
        <v>7</v>
      </c>
      <c r="D2" s="181" t="str">
        <f>IF(E25="",F5&amp;"  ("&amp;F4&amp;") - NO "&amp;C24,F5&amp;"  ("&amp;F4&amp;") - "&amp;C24&amp;" PICK LIST")</f>
        <v>HARMONY COMMUNITY DEV. CORP  (026575P)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"026575P"</f>
        <v>026575P</v>
      </c>
      <c r="E4" s="101" t="s">
        <v>37</v>
      </c>
      <c r="F4" s="105" t="str">
        <f>C4</f>
        <v>026575P</v>
      </c>
      <c r="K4" s="101" t="s">
        <v>42</v>
      </c>
      <c r="L4" s="104"/>
      <c r="M4" s="111">
        <f>SUM(I25:I26)</f>
        <v>0</v>
      </c>
    </row>
    <row r="5" spans="1:26" ht="18" hidden="1" customHeight="1" x14ac:dyDescent="0.25">
      <c r="B5" s="76" t="str">
        <f t="shared" si="0"/>
        <v>Hide</v>
      </c>
      <c r="C5" s="109" t="s">
        <v>1471</v>
      </c>
      <c r="E5" s="101" t="s">
        <v>36</v>
      </c>
      <c r="F5" s="112" t="s">
        <v>1192</v>
      </c>
      <c r="K5" s="101" t="s">
        <v>43</v>
      </c>
      <c r="L5" s="104"/>
      <c r="M5" s="111">
        <f>ROUND(SUM(O25:O26),0)</f>
        <v>0</v>
      </c>
    </row>
    <row r="6" spans="1:26" ht="18" hidden="1" customHeight="1" x14ac:dyDescent="0.25">
      <c r="B6" s="76" t="str">
        <f t="shared" si="0"/>
        <v>Hide</v>
      </c>
      <c r="C6" s="109" t="s">
        <v>1472</v>
      </c>
      <c r="E6" s="101" t="s">
        <v>38</v>
      </c>
      <c r="F6" s="105" t="s">
        <v>61</v>
      </c>
      <c r="G6" s="110" t="s">
        <v>179</v>
      </c>
      <c r="I6" s="109"/>
      <c r="J6" s="109"/>
      <c r="K6" s="108" t="s">
        <v>58</v>
      </c>
      <c r="L6" s="108"/>
      <c r="M6" s="107">
        <f>ROUND(COUNT(O25:O26),0)</f>
        <v>0</v>
      </c>
      <c r="P6" s="101"/>
      <c r="W6" s="101" t="str">
        <f>"ESTIMATED "&amp;O24&amp;"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E15</f>
        <v>A108064|A108064|A108064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F15</f>
        <v>ITPN-207444|ITPN-207446|ITPN-207444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B14</f>
        <v>Hide</v>
      </c>
      <c r="C12" s="74" t="s">
        <v>1471</v>
      </c>
      <c r="E12" s="74" t="s">
        <v>1466</v>
      </c>
      <c r="F12" s="74" t="s">
        <v>1467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>B15</f>
        <v>Hide</v>
      </c>
      <c r="C13" s="74" t="str">
        <f>"""Ceres NTFB Live"",""NTFB Live"",""5766"",""1"",""Invt. Pick"",""2"",""ITPN-207446"""</f>
        <v>"Ceres NTFB Live","NTFB Live","5766","1","Invt. Pick","2","ITPN-207446"</v>
      </c>
      <c r="E13" s="74" t="s">
        <v>1466</v>
      </c>
      <c r="F13" s="74" t="s">
        <v>1468</v>
      </c>
      <c r="I13" s="98"/>
      <c r="J13" s="98"/>
      <c r="K13" s="98"/>
      <c r="L13" s="98"/>
      <c r="M13" s="98"/>
    </row>
    <row r="14" spans="1:26" hidden="1" x14ac:dyDescent="0.25">
      <c r="A14" s="74" t="s">
        <v>6</v>
      </c>
      <c r="B14" s="76" t="str">
        <f t="shared" ref="B14:B24" si="1">B15</f>
        <v>Hide</v>
      </c>
      <c r="C14" s="74" t="s">
        <v>1466</v>
      </c>
      <c r="E14" s="74" t="str">
        <f>E12</f>
        <v>A108064</v>
      </c>
      <c r="F14" s="74" t="str">
        <f>F12</f>
        <v>ITPN-207444</v>
      </c>
      <c r="I14" s="98"/>
      <c r="J14" s="98"/>
      <c r="K14" s="98"/>
      <c r="L14" s="98"/>
      <c r="M14" s="98"/>
    </row>
    <row r="15" spans="1:26" hidden="1" x14ac:dyDescent="0.25">
      <c r="A15" s="74" t="s">
        <v>6</v>
      </c>
      <c r="B15" s="76" t="str">
        <f t="shared" si="1"/>
        <v>Hide</v>
      </c>
      <c r="E15" s="92" t="s">
        <v>1469</v>
      </c>
      <c r="F15" s="92" t="s">
        <v>1470</v>
      </c>
      <c r="I15" s="98"/>
      <c r="J15" s="98"/>
      <c r="K15" s="98"/>
      <c r="L15" s="98"/>
      <c r="M15" s="98"/>
    </row>
    <row r="16" spans="1:26" hidden="1" x14ac:dyDescent="0.25">
      <c r="B16" s="76" t="str">
        <f t="shared" si="1"/>
        <v>Hide</v>
      </c>
      <c r="E16" s="101" t="s">
        <v>20</v>
      </c>
      <c r="F16" s="184" t="s">
        <v>179</v>
      </c>
      <c r="G16" s="185"/>
      <c r="H16" s="185"/>
      <c r="I16" s="185"/>
      <c r="J16" s="185"/>
      <c r="K16" s="185"/>
      <c r="L16" s="185"/>
      <c r="M16" s="186"/>
    </row>
    <row r="17" spans="1:17" hidden="1" x14ac:dyDescent="0.25">
      <c r="B17" s="76" t="str">
        <f t="shared" si="1"/>
        <v>Hide</v>
      </c>
      <c r="F17" s="187"/>
      <c r="G17" s="188"/>
      <c r="H17" s="188"/>
      <c r="I17" s="188"/>
      <c r="J17" s="188"/>
      <c r="K17" s="188"/>
      <c r="L17" s="188"/>
      <c r="M17" s="189"/>
    </row>
    <row r="18" spans="1:17" ht="15.75" hidden="1" thickBot="1" x14ac:dyDescent="0.3">
      <c r="B18" s="76" t="str">
        <f t="shared" si="1"/>
        <v>Hide</v>
      </c>
      <c r="F18" s="190"/>
      <c r="G18" s="191"/>
      <c r="H18" s="191"/>
      <c r="I18" s="191"/>
      <c r="J18" s="191"/>
      <c r="K18" s="191"/>
      <c r="L18" s="191"/>
      <c r="M18" s="192"/>
    </row>
    <row r="19" spans="1:17" hidden="1" x14ac:dyDescent="0.25">
      <c r="B19" s="76" t="str">
        <f t="shared" si="1"/>
        <v>Hide</v>
      </c>
    </row>
    <row r="20" spans="1:17" hidden="1" x14ac:dyDescent="0.25">
      <c r="B20" s="76" t="str">
        <f t="shared" si="1"/>
        <v>Hide</v>
      </c>
      <c r="E20" s="101" t="s">
        <v>33</v>
      </c>
      <c r="F20" s="100"/>
      <c r="G20" s="102"/>
      <c r="H20" s="101" t="s">
        <v>53</v>
      </c>
      <c r="I20" s="100"/>
      <c r="J20" s="100"/>
      <c r="K20" s="100"/>
    </row>
    <row r="21" spans="1:17" hidden="1" x14ac:dyDescent="0.25">
      <c r="B21" s="76" t="str">
        <f t="shared" si="1"/>
        <v>Hide</v>
      </c>
      <c r="E21" s="101"/>
    </row>
    <row r="22" spans="1:17" hidden="1" x14ac:dyDescent="0.25">
      <c r="B22" s="76" t="str">
        <f t="shared" si="1"/>
        <v>Hide</v>
      </c>
      <c r="E22" s="101" t="s">
        <v>32</v>
      </c>
      <c r="F22" s="100"/>
      <c r="G22" s="102"/>
      <c r="H22" s="101" t="s">
        <v>54</v>
      </c>
      <c r="I22" s="100"/>
      <c r="J22" s="100"/>
      <c r="K22" s="100"/>
    </row>
    <row r="23" spans="1:17" hidden="1" x14ac:dyDescent="0.25">
      <c r="B23" s="76" t="str">
        <f t="shared" si="1"/>
        <v>Hide</v>
      </c>
      <c r="C23" s="74" t="s">
        <v>52</v>
      </c>
      <c r="D23" s="74" t="s">
        <v>52</v>
      </c>
      <c r="F23" s="99"/>
      <c r="I23" s="98"/>
      <c r="J23" s="98"/>
      <c r="K23" s="98"/>
      <c r="L23" s="98"/>
      <c r="M23" s="98"/>
    </row>
    <row r="24" spans="1:17" s="75" customFormat="1" ht="15.95" hidden="1" customHeight="1" x14ac:dyDescent="0.25">
      <c r="A24" s="97"/>
      <c r="B24" s="76" t="str">
        <f t="shared" si="1"/>
        <v>Hide</v>
      </c>
      <c r="C24" s="117" t="s">
        <v>59</v>
      </c>
      <c r="D24" s="94" t="s">
        <v>28</v>
      </c>
      <c r="E24" s="94" t="s">
        <v>26</v>
      </c>
      <c r="F24" s="94" t="s">
        <v>29</v>
      </c>
      <c r="G24" s="94" t="s">
        <v>57</v>
      </c>
      <c r="H24" s="94" t="s">
        <v>27</v>
      </c>
      <c r="I24" s="94" t="s">
        <v>25</v>
      </c>
      <c r="J24" s="94" t="s">
        <v>10</v>
      </c>
      <c r="K24" s="94" t="s">
        <v>24</v>
      </c>
      <c r="L24" s="95"/>
      <c r="M24" s="94" t="s">
        <v>31</v>
      </c>
      <c r="N24" s="93" t="s">
        <v>21</v>
      </c>
      <c r="O24" s="93" t="s">
        <v>22</v>
      </c>
      <c r="P24" s="93" t="s">
        <v>23</v>
      </c>
      <c r="Q24" s="93"/>
    </row>
    <row r="25" spans="1:17" ht="24.95" hidden="1" customHeight="1" x14ac:dyDescent="0.25">
      <c r="B25" s="92" t="str">
        <f>IF(I25="","Hide","Show")</f>
        <v>Hide</v>
      </c>
      <c r="C25" s="74" t="s">
        <v>179</v>
      </c>
      <c r="D25" s="89" t="s">
        <v>179</v>
      </c>
      <c r="E25" s="89" t="s">
        <v>179</v>
      </c>
      <c r="F25" s="89" t="s">
        <v>179</v>
      </c>
      <c r="G25" s="91" t="s">
        <v>180</v>
      </c>
      <c r="H25" s="90" t="s">
        <v>179</v>
      </c>
      <c r="I25" s="89" t="s">
        <v>179</v>
      </c>
      <c r="J25" s="89" t="s">
        <v>179</v>
      </c>
      <c r="K25" s="88"/>
      <c r="L25" s="87"/>
      <c r="M25" s="87"/>
      <c r="N25" s="85" t="s">
        <v>179</v>
      </c>
      <c r="O25" s="85" t="s">
        <v>179</v>
      </c>
      <c r="P25" s="85" t="s">
        <v>179</v>
      </c>
      <c r="Q25" s="86" t="s">
        <v>56</v>
      </c>
    </row>
    <row r="26" spans="1:17" hidden="1" x14ac:dyDescent="0.25">
      <c r="B26" s="74" t="str">
        <f>B25</f>
        <v>Hide</v>
      </c>
      <c r="H26" s="85"/>
      <c r="I26" s="85"/>
    </row>
    <row r="27" spans="1:17" ht="15.75" hidden="1" thickBot="1" x14ac:dyDescent="0.3">
      <c r="B27" s="74" t="str">
        <f>+B26</f>
        <v>Hide</v>
      </c>
      <c r="D27" s="193" t="str">
        <f>+"END OF "&amp;D2</f>
        <v>END OF HARMONY COMMUNITY DEV. CORP  (026575P) - NO F4K</v>
      </c>
      <c r="E27" s="194"/>
      <c r="F27" s="194"/>
      <c r="G27" s="194"/>
      <c r="H27" s="194"/>
      <c r="I27" s="194"/>
      <c r="J27" s="194"/>
      <c r="K27" s="194"/>
      <c r="L27" s="194"/>
      <c r="M27" s="195"/>
    </row>
    <row r="28" spans="1:17" ht="15.75" thickBot="1" x14ac:dyDescent="0.3"/>
    <row r="29" spans="1:17" ht="80.099999999999994" customHeight="1" thickBot="1" x14ac:dyDescent="0.3">
      <c r="A29" s="76" t="s">
        <v>30</v>
      </c>
      <c r="D29" s="166" t="str">
        <f>+F6</f>
        <v>PICKUP</v>
      </c>
      <c r="E29" s="167"/>
      <c r="F29" s="167"/>
      <c r="G29" s="167"/>
      <c r="H29" s="167"/>
      <c r="I29" s="167"/>
      <c r="J29" s="167"/>
      <c r="K29" s="167"/>
      <c r="L29" s="167"/>
      <c r="M29" s="168"/>
    </row>
    <row r="30" spans="1:17" ht="36.75" x14ac:dyDescent="0.45">
      <c r="A30" s="76" t="s">
        <v>30</v>
      </c>
      <c r="D30" s="176" t="s">
        <v>12</v>
      </c>
      <c r="E30" s="177"/>
      <c r="F30" s="196" t="str">
        <f>+F4</f>
        <v>026575P</v>
      </c>
      <c r="G30" s="196"/>
      <c r="H30" s="196"/>
      <c r="I30" s="196"/>
      <c r="J30" s="196"/>
      <c r="K30" s="196"/>
      <c r="L30" s="196"/>
      <c r="M30" s="197"/>
    </row>
    <row r="31" spans="1:17" ht="37.5" customHeight="1" thickBot="1" x14ac:dyDescent="0.5">
      <c r="A31" s="76" t="s">
        <v>30</v>
      </c>
      <c r="D31" s="158" t="s">
        <v>5</v>
      </c>
      <c r="E31" s="159"/>
      <c r="F31" s="161" t="str">
        <f>+F5</f>
        <v>HARMONY COMMUNITY DEV. CORP</v>
      </c>
      <c r="G31" s="161"/>
      <c r="H31" s="161"/>
      <c r="I31" s="161"/>
      <c r="J31" s="161"/>
      <c r="K31" s="161"/>
      <c r="L31" s="161"/>
      <c r="M31" s="162"/>
      <c r="N31" s="84"/>
      <c r="O31" s="84"/>
      <c r="P31" s="84"/>
    </row>
    <row r="32" spans="1:17" ht="33.75" hidden="1" thickBot="1" x14ac:dyDescent="0.45">
      <c r="A32" s="76" t="s">
        <v>19</v>
      </c>
      <c r="D32" s="172" t="s">
        <v>49</v>
      </c>
      <c r="E32" s="173"/>
      <c r="F32" s="82"/>
      <c r="G32" s="83"/>
      <c r="H32" s="82"/>
      <c r="I32" s="82"/>
      <c r="J32" s="82"/>
      <c r="K32" s="82"/>
      <c r="L32" s="82"/>
      <c r="M32" s="81"/>
    </row>
    <row r="33" spans="1:13" ht="30" hidden="1" customHeight="1" x14ac:dyDescent="0.25">
      <c r="A33" s="76" t="s">
        <v>19</v>
      </c>
      <c r="D33" s="80"/>
      <c r="E33" s="78"/>
      <c r="F33" s="174" t="s">
        <v>1466</v>
      </c>
      <c r="G33" s="174"/>
      <c r="H33" s="174"/>
      <c r="I33" s="174"/>
      <c r="J33" s="174"/>
      <c r="K33" s="174"/>
      <c r="L33" s="174"/>
      <c r="M33" s="175"/>
    </row>
    <row r="34" spans="1:13" ht="15.75" hidden="1" customHeight="1" thickBot="1" x14ac:dyDescent="0.3">
      <c r="A34" s="76" t="s">
        <v>19</v>
      </c>
      <c r="D34" s="80"/>
      <c r="E34" s="78"/>
      <c r="F34" s="78"/>
      <c r="G34" s="79"/>
      <c r="H34" s="78"/>
      <c r="I34" s="78"/>
      <c r="J34" s="78"/>
      <c r="K34" s="78"/>
      <c r="L34" s="78"/>
      <c r="M34" s="77"/>
    </row>
    <row r="35" spans="1:13" ht="36.75" x14ac:dyDescent="0.45">
      <c r="A35" s="76" t="s">
        <v>30</v>
      </c>
      <c r="D35" s="176" t="s">
        <v>50</v>
      </c>
      <c r="E35" s="177"/>
      <c r="F35" s="178">
        <f>+F7</f>
        <v>42612</v>
      </c>
      <c r="G35" s="179"/>
      <c r="H35" s="179"/>
      <c r="I35" s="179"/>
      <c r="J35" s="179"/>
      <c r="K35" s="179"/>
      <c r="L35" s="179"/>
      <c r="M35" s="180"/>
    </row>
    <row r="36" spans="1:13" ht="37.5" thickBot="1" x14ac:dyDescent="0.5">
      <c r="A36" s="76" t="s">
        <v>30</v>
      </c>
      <c r="D36" s="158" t="s">
        <v>32</v>
      </c>
      <c r="E36" s="159"/>
      <c r="F36" s="160"/>
      <c r="G36" s="161"/>
      <c r="H36" s="161"/>
      <c r="I36" s="161"/>
      <c r="J36" s="161"/>
      <c r="K36" s="161"/>
      <c r="L36" s="161"/>
      <c r="M36" s="162"/>
    </row>
    <row r="37" spans="1:13" ht="80.099999999999994" customHeight="1" thickBot="1" x14ac:dyDescent="0.3">
      <c r="A37" s="76" t="s">
        <v>30</v>
      </c>
      <c r="D37" s="163" t="s">
        <v>51</v>
      </c>
      <c r="E37" s="164"/>
      <c r="F37" s="164"/>
      <c r="G37" s="164"/>
      <c r="H37" s="164"/>
      <c r="I37" s="164"/>
      <c r="J37" s="164"/>
      <c r="K37" s="164"/>
      <c r="L37" s="164"/>
      <c r="M37" s="165"/>
    </row>
    <row r="38" spans="1:13" ht="90" customHeight="1" thickBot="1" x14ac:dyDescent="0.3">
      <c r="A38" s="76" t="s">
        <v>30</v>
      </c>
      <c r="D38" s="166" t="str">
        <f>IF(F6="DELIVER",G6,F6)</f>
        <v>PICKUP</v>
      </c>
      <c r="E38" s="167"/>
      <c r="F38" s="167"/>
      <c r="G38" s="167"/>
      <c r="H38" s="167"/>
      <c r="I38" s="167"/>
      <c r="J38" s="167"/>
      <c r="K38" s="167"/>
      <c r="L38" s="167"/>
      <c r="M38" s="168"/>
    </row>
    <row r="39" spans="1:13" ht="60" customHeight="1" thickBot="1" x14ac:dyDescent="0.3">
      <c r="A39" s="76" t="s">
        <v>30</v>
      </c>
      <c r="D39" s="169" t="s">
        <v>55</v>
      </c>
      <c r="E39" s="170"/>
      <c r="F39" s="170"/>
      <c r="G39" s="170"/>
      <c r="H39" s="170"/>
      <c r="I39" s="170"/>
      <c r="J39" s="170"/>
      <c r="K39" s="170"/>
      <c r="L39" s="170"/>
      <c r="M39" s="171"/>
    </row>
  </sheetData>
  <mergeCells count="17">
    <mergeCell ref="D2:M2"/>
    <mergeCell ref="F16:M18"/>
    <mergeCell ref="D27:M27"/>
    <mergeCell ref="D29:M29"/>
    <mergeCell ref="D30:E30"/>
    <mergeCell ref="F30:M30"/>
    <mergeCell ref="D31:E31"/>
    <mergeCell ref="F31:M31"/>
    <mergeCell ref="D32:E32"/>
    <mergeCell ref="F33:M33"/>
    <mergeCell ref="D35:E35"/>
    <mergeCell ref="F35:M35"/>
    <mergeCell ref="D36:E36"/>
    <mergeCell ref="F36:M36"/>
    <mergeCell ref="D37:M37"/>
    <mergeCell ref="D38:M38"/>
    <mergeCell ref="D39:M39"/>
  </mergeCells>
  <conditionalFormatting sqref="F6">
    <cfRule type="cellIs" dxfId="9" priority="5" operator="equal">
      <formula>"DELIVER"</formula>
    </cfRule>
  </conditionalFormatting>
  <conditionalFormatting sqref="D29">
    <cfRule type="cellIs" dxfId="8" priority="4" operator="equal">
      <formula>"DELIVER"</formula>
    </cfRule>
  </conditionalFormatting>
  <conditionalFormatting sqref="D2:M2">
    <cfRule type="expression" dxfId="7" priority="3">
      <formula>$F$6="DELIVER"</formula>
    </cfRule>
  </conditionalFormatting>
  <conditionalFormatting sqref="G6">
    <cfRule type="expression" dxfId="6" priority="2">
      <formula>$F$6="DELIVER"</formula>
    </cfRule>
  </conditionalFormatting>
  <conditionalFormatting sqref="D38">
    <cfRule type="expression" dxfId="5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27" max="16383" man="1"/>
  </rowBreaks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"/>
  <sheetViews>
    <sheetView topLeftCell="D2" zoomScale="120" zoomScaleNormal="120" zoomScaleSheetLayoutView="50" workbookViewId="0">
      <selection activeCell="D2" sqref="D2:M2"/>
    </sheetView>
  </sheetViews>
  <sheetFormatPr defaultRowHeight="15" x14ac:dyDescent="0.25"/>
  <cols>
    <col min="1" max="1" width="17.5703125" style="74" hidden="1" customWidth="1"/>
    <col min="2" max="2" width="7.140625" style="74" hidden="1" customWidth="1"/>
    <col min="3" max="3" width="66.140625" style="74" hidden="1" customWidth="1"/>
    <col min="4" max="4" width="10.7109375" style="74" customWidth="1"/>
    <col min="5" max="6" width="12.7109375" style="74" customWidth="1"/>
    <col min="7" max="7" width="12.7109375" style="75" customWidth="1"/>
    <col min="8" max="8" width="48.7109375" style="74" customWidth="1"/>
    <col min="9" max="9" width="5.7109375" style="74" customWidth="1"/>
    <col min="10" max="10" width="6.85546875" style="74" customWidth="1"/>
    <col min="11" max="11" width="9.7109375" style="74" customWidth="1"/>
    <col min="12" max="12" width="1.140625" style="74" hidden="1" customWidth="1"/>
    <col min="13" max="13" width="11.42578125" style="74" customWidth="1"/>
    <col min="14" max="14" width="5.85546875" style="74" hidden="1" customWidth="1"/>
    <col min="15" max="15" width="8" style="74" hidden="1" customWidth="1"/>
    <col min="16" max="16" width="8.5703125" style="74" hidden="1" customWidth="1"/>
    <col min="17" max="17" width="9.5703125" style="74" hidden="1" customWidth="1"/>
    <col min="18" max="18" width="6.7109375" style="74" hidden="1" customWidth="1"/>
    <col min="19" max="19" width="9.140625" style="74" hidden="1" customWidth="1"/>
    <col min="20" max="20" width="9.42578125" style="74" hidden="1" customWidth="1"/>
    <col min="21" max="26" width="9.140625" style="74" hidden="1" customWidth="1"/>
    <col min="27" max="16384" width="9.140625" style="74"/>
  </cols>
  <sheetData>
    <row r="1" spans="1:26" ht="15.75" hidden="1" thickBot="1" x14ac:dyDescent="0.3">
      <c r="A1" s="74" t="s">
        <v>1790</v>
      </c>
      <c r="B1" s="74" t="s">
        <v>11</v>
      </c>
      <c r="C1" s="74" t="s">
        <v>6</v>
      </c>
      <c r="D1" s="74" t="s">
        <v>30</v>
      </c>
      <c r="E1" s="74" t="s">
        <v>30</v>
      </c>
      <c r="F1" s="74" t="s">
        <v>30</v>
      </c>
      <c r="G1" s="75" t="s">
        <v>30</v>
      </c>
      <c r="H1" s="74" t="s">
        <v>30</v>
      </c>
      <c r="I1" s="74" t="s">
        <v>30</v>
      </c>
      <c r="J1" s="74" t="s">
        <v>30</v>
      </c>
      <c r="K1" s="74" t="s">
        <v>30</v>
      </c>
      <c r="L1" s="74" t="s">
        <v>19</v>
      </c>
      <c r="M1" s="74" t="s">
        <v>30</v>
      </c>
      <c r="N1" s="74" t="s">
        <v>19</v>
      </c>
      <c r="O1" s="74" t="s">
        <v>19</v>
      </c>
      <c r="P1" s="74" t="s">
        <v>19</v>
      </c>
      <c r="Q1" s="74" t="s">
        <v>19</v>
      </c>
      <c r="R1" s="74" t="s">
        <v>19</v>
      </c>
      <c r="S1" s="74" t="s">
        <v>19</v>
      </c>
      <c r="T1" s="74" t="s">
        <v>19</v>
      </c>
      <c r="U1" s="74" t="s">
        <v>19</v>
      </c>
      <c r="V1" s="74" t="s">
        <v>19</v>
      </c>
      <c r="W1" s="74" t="s">
        <v>19</v>
      </c>
      <c r="X1" s="74" t="s">
        <v>19</v>
      </c>
      <c r="Y1" s="74" t="s">
        <v>19</v>
      </c>
      <c r="Z1" s="74" t="s">
        <v>19</v>
      </c>
    </row>
    <row r="2" spans="1:26" ht="30" customHeight="1" thickBot="1" x14ac:dyDescent="0.35">
      <c r="A2" s="74" t="s">
        <v>30</v>
      </c>
      <c r="B2" s="76" t="str">
        <f>IF(F32="","HIDESHEET","")</f>
        <v>HIDESHEET</v>
      </c>
      <c r="C2" s="74" t="s">
        <v>7</v>
      </c>
      <c r="D2" s="181" t="str">
        <f>IF(E32="",F5&amp;"  ("&amp;F4&amp;") - NO "&amp;C31,F5&amp;"  ("&amp;F4&amp;") - "&amp;C31&amp;" PICK LIST")</f>
        <v>CHRISTIAN BENEVOLENT OUTREACH  (026637P) - NO F4K</v>
      </c>
      <c r="E2" s="182"/>
      <c r="F2" s="182"/>
      <c r="G2" s="182"/>
      <c r="H2" s="182"/>
      <c r="I2" s="182"/>
      <c r="J2" s="182"/>
      <c r="K2" s="182"/>
      <c r="L2" s="182"/>
      <c r="M2" s="183"/>
      <c r="N2" s="116"/>
      <c r="O2" s="116"/>
      <c r="P2" s="116"/>
      <c r="Q2" s="116"/>
      <c r="R2" s="116"/>
    </row>
    <row r="3" spans="1:26" ht="11.25" hidden="1" customHeight="1" x14ac:dyDescent="0.3">
      <c r="A3" s="74" t="s">
        <v>6</v>
      </c>
      <c r="B3" s="76" t="str">
        <f t="shared" ref="B3:B11" si="0">B4</f>
        <v>Hide</v>
      </c>
      <c r="D3" s="114"/>
      <c r="E3" s="114"/>
      <c r="F3" s="114"/>
      <c r="G3" s="115"/>
      <c r="H3" s="114"/>
      <c r="I3" s="114"/>
      <c r="J3" s="114"/>
      <c r="K3" s="114"/>
      <c r="L3" s="114"/>
    </row>
    <row r="4" spans="1:26" ht="18" hidden="1" customHeight="1" x14ac:dyDescent="0.25">
      <c r="B4" s="76" t="str">
        <f t="shared" si="0"/>
        <v>Hide</v>
      </c>
      <c r="C4" s="113" t="str">
        <f>"026637P"</f>
        <v>026637P</v>
      </c>
      <c r="E4" s="101" t="s">
        <v>37</v>
      </c>
      <c r="F4" s="105" t="str">
        <f>C4</f>
        <v>026637P</v>
      </c>
      <c r="K4" s="101" t="s">
        <v>42</v>
      </c>
      <c r="L4" s="104"/>
      <c r="M4" s="111">
        <f>SUM(I32:I33)</f>
        <v>0</v>
      </c>
    </row>
    <row r="5" spans="1:26" ht="18" hidden="1" customHeight="1" x14ac:dyDescent="0.25">
      <c r="B5" s="76" t="str">
        <f t="shared" si="0"/>
        <v>Hide</v>
      </c>
      <c r="C5" s="109" t="s">
        <v>1476</v>
      </c>
      <c r="E5" s="101" t="s">
        <v>36</v>
      </c>
      <c r="F5" s="112" t="s">
        <v>1173</v>
      </c>
      <c r="K5" s="101" t="s">
        <v>43</v>
      </c>
      <c r="L5" s="104"/>
      <c r="M5" s="111">
        <f>ROUND(SUM(O32:O33),0)</f>
        <v>0</v>
      </c>
    </row>
    <row r="6" spans="1:26" ht="18" hidden="1" customHeight="1" x14ac:dyDescent="0.25">
      <c r="B6" s="76" t="str">
        <f t="shared" si="0"/>
        <v>Hide</v>
      </c>
      <c r="C6" s="109" t="s">
        <v>1477</v>
      </c>
      <c r="E6" s="101" t="s">
        <v>38</v>
      </c>
      <c r="F6" s="105" t="s">
        <v>60</v>
      </c>
      <c r="G6" s="110" t="s">
        <v>898</v>
      </c>
      <c r="I6" s="109"/>
      <c r="J6" s="109"/>
      <c r="K6" s="108" t="s">
        <v>58</v>
      </c>
      <c r="L6" s="108"/>
      <c r="M6" s="107">
        <f>ROUND(COUNT(O32:O33),0)</f>
        <v>0</v>
      </c>
      <c r="P6" s="101"/>
      <c r="W6" s="101" t="str">
        <f>"ESTIMATED "&amp;O31&amp;" PALLETS:"</f>
        <v>ESTIMATED LBS PALLETS:</v>
      </c>
    </row>
    <row r="7" spans="1:26" ht="18" hidden="1" customHeight="1" x14ac:dyDescent="0.25">
      <c r="B7" s="76" t="str">
        <f t="shared" si="0"/>
        <v>Hide</v>
      </c>
      <c r="E7" s="101" t="s">
        <v>39</v>
      </c>
      <c r="F7" s="106">
        <v>42612</v>
      </c>
      <c r="K7" s="101"/>
      <c r="M7" s="85"/>
      <c r="P7" s="101"/>
      <c r="W7" s="101" t="s">
        <v>46</v>
      </c>
    </row>
    <row r="8" spans="1:26" ht="15" hidden="1" customHeight="1" x14ac:dyDescent="0.25">
      <c r="A8" s="74" t="s">
        <v>6</v>
      </c>
      <c r="B8" s="76" t="str">
        <f t="shared" si="0"/>
        <v>Hide</v>
      </c>
      <c r="E8" s="101" t="s">
        <v>40</v>
      </c>
      <c r="F8" s="105" t="str">
        <f>E22</f>
        <v>A107495|A107495|A107495|A107502|A107502|A107580|A107580|A107796|A107796|A107495</v>
      </c>
      <c r="K8" s="101"/>
      <c r="L8" s="104"/>
      <c r="P8" s="101"/>
      <c r="W8" s="101" t="s">
        <v>47</v>
      </c>
    </row>
    <row r="9" spans="1:26" ht="15" hidden="1" customHeight="1" x14ac:dyDescent="0.25">
      <c r="A9" s="74" t="s">
        <v>6</v>
      </c>
      <c r="B9" s="76" t="str">
        <f t="shared" si="0"/>
        <v>Hide</v>
      </c>
      <c r="E9" s="101" t="s">
        <v>41</v>
      </c>
      <c r="F9" s="105" t="str">
        <f>F22</f>
        <v>ITPN-207417|ITPN-207418|ITPN-207419|ITPN-207420|ITPN-207421|ITPN-207422|ITPN-207423|ITPN-207424|ITPN-207425|ITPN-207417</v>
      </c>
      <c r="K9" s="101"/>
      <c r="L9" s="104"/>
      <c r="M9" s="103"/>
      <c r="P9" s="101"/>
      <c r="W9" s="101" t="s">
        <v>48</v>
      </c>
    </row>
    <row r="10" spans="1:26" ht="15" hidden="1" customHeight="1" x14ac:dyDescent="0.25">
      <c r="A10" s="74" t="s">
        <v>6</v>
      </c>
      <c r="B10" s="76" t="str">
        <f t="shared" si="0"/>
        <v>Hide</v>
      </c>
    </row>
    <row r="11" spans="1:26" ht="15.75" hidden="1" customHeight="1" x14ac:dyDescent="0.25">
      <c r="A11" s="74" t="s">
        <v>6</v>
      </c>
      <c r="B11" s="76" t="str">
        <f t="shared" si="0"/>
        <v>Hide</v>
      </c>
      <c r="E11" s="74" t="s">
        <v>8</v>
      </c>
      <c r="F11" s="74" t="s">
        <v>9</v>
      </c>
      <c r="H11" s="101"/>
      <c r="I11" s="98"/>
      <c r="J11" s="98"/>
      <c r="K11" s="98"/>
      <c r="L11" s="98"/>
      <c r="M11" s="98"/>
    </row>
    <row r="12" spans="1:26" hidden="1" x14ac:dyDescent="0.25">
      <c r="A12" s="74" t="s">
        <v>6</v>
      </c>
      <c r="B12" s="76" t="str">
        <f>B21</f>
        <v>Hide</v>
      </c>
      <c r="C12" s="74" t="s">
        <v>1480</v>
      </c>
      <c r="E12" s="74" t="str">
        <f>"A107495"</f>
        <v>A107495</v>
      </c>
      <c r="F12" s="74" t="str">
        <f>"ITPN-207417"</f>
        <v>ITPN-207417</v>
      </c>
      <c r="I12" s="98"/>
      <c r="J12" s="98"/>
      <c r="K12" s="98"/>
      <c r="L12" s="98"/>
      <c r="M12" s="98"/>
    </row>
    <row r="13" spans="1:26" hidden="1" x14ac:dyDescent="0.25">
      <c r="A13" s="74" t="s">
        <v>173</v>
      </c>
      <c r="B13" s="76" t="str">
        <f t="shared" ref="B13:B20" si="1">B22</f>
        <v>Hide</v>
      </c>
      <c r="C13" s="74" t="str">
        <f>"""Ceres NTFB Live"",""NTFB Live"",""5766"",""1"",""Invt. Pick"",""2"",""ITPN-207418"""</f>
        <v>"Ceres NTFB Live","NTFB Live","5766","1","Invt. Pick","2","ITPN-207418"</v>
      </c>
      <c r="E13" s="74" t="str">
        <f>"A107495"</f>
        <v>A107495</v>
      </c>
      <c r="F13" s="74" t="str">
        <f>"ITPN-207418"</f>
        <v>ITPN-207418</v>
      </c>
      <c r="I13" s="98"/>
      <c r="J13" s="98"/>
      <c r="K13" s="98"/>
      <c r="L13" s="98"/>
      <c r="M13" s="98"/>
    </row>
    <row r="14" spans="1:26" hidden="1" x14ac:dyDescent="0.25">
      <c r="A14" s="74" t="s">
        <v>173</v>
      </c>
      <c r="B14" s="76" t="str">
        <f t="shared" si="1"/>
        <v>Hide</v>
      </c>
      <c r="C14" s="74" t="str">
        <f>"""Ceres NTFB Live"",""NTFB Live"",""5766"",""1"",""Invt. Pick"",""2"",""ITPN-207419"""</f>
        <v>"Ceres NTFB Live","NTFB Live","5766","1","Invt. Pick","2","ITPN-207419"</v>
      </c>
      <c r="E14" s="74" t="str">
        <f>"A107495"</f>
        <v>A107495</v>
      </c>
      <c r="F14" s="74" t="str">
        <f>"ITPN-207419"</f>
        <v>ITPN-207419</v>
      </c>
      <c r="I14" s="98"/>
      <c r="J14" s="98"/>
      <c r="K14" s="98"/>
      <c r="L14" s="98"/>
      <c r="M14" s="98"/>
    </row>
    <row r="15" spans="1:26" hidden="1" x14ac:dyDescent="0.25">
      <c r="A15" s="74" t="s">
        <v>173</v>
      </c>
      <c r="B15" s="76" t="str">
        <f t="shared" si="1"/>
        <v>Hide</v>
      </c>
      <c r="C15" s="74" t="str">
        <f>"""Ceres NTFB Live"",""NTFB Live"",""5766"",""1"",""Invt. Pick"",""2"",""ITPN-207420"""</f>
        <v>"Ceres NTFB Live","NTFB Live","5766","1","Invt. Pick","2","ITPN-207420"</v>
      </c>
      <c r="E15" s="74" t="str">
        <f>"A107502"</f>
        <v>A107502</v>
      </c>
      <c r="F15" s="74" t="str">
        <f>"ITPN-207420"</f>
        <v>ITPN-207420</v>
      </c>
      <c r="I15" s="98"/>
      <c r="J15" s="98"/>
      <c r="K15" s="98"/>
      <c r="L15" s="98"/>
      <c r="M15" s="98"/>
    </row>
    <row r="16" spans="1:26" hidden="1" x14ac:dyDescent="0.25">
      <c r="A16" s="74" t="s">
        <v>173</v>
      </c>
      <c r="B16" s="76" t="str">
        <f t="shared" si="1"/>
        <v>Hide</v>
      </c>
      <c r="C16" s="74" t="str">
        <f>"""Ceres NTFB Live"",""NTFB Live"",""5766"",""1"",""Invt. Pick"",""2"",""ITPN-207421"""</f>
        <v>"Ceres NTFB Live","NTFB Live","5766","1","Invt. Pick","2","ITPN-207421"</v>
      </c>
      <c r="E16" s="74" t="str">
        <f>"A107502"</f>
        <v>A107502</v>
      </c>
      <c r="F16" s="74" t="str">
        <f>"ITPN-207421"</f>
        <v>ITPN-207421</v>
      </c>
      <c r="I16" s="98"/>
      <c r="J16" s="98"/>
      <c r="K16" s="98"/>
      <c r="L16" s="98"/>
      <c r="M16" s="98"/>
    </row>
    <row r="17" spans="1:17" hidden="1" x14ac:dyDescent="0.25">
      <c r="A17" s="74" t="s">
        <v>173</v>
      </c>
      <c r="B17" s="76" t="str">
        <f t="shared" si="1"/>
        <v>Hide</v>
      </c>
      <c r="C17" s="74" t="str">
        <f>"""Ceres NTFB Live"",""NTFB Live"",""5766"",""1"",""Invt. Pick"",""2"",""ITPN-207422"""</f>
        <v>"Ceres NTFB Live","NTFB Live","5766","1","Invt. Pick","2","ITPN-207422"</v>
      </c>
      <c r="E17" s="74" t="str">
        <f>"A107580"</f>
        <v>A107580</v>
      </c>
      <c r="F17" s="74" t="str">
        <f>"ITPN-207422"</f>
        <v>ITPN-207422</v>
      </c>
      <c r="I17" s="98"/>
      <c r="J17" s="98"/>
      <c r="K17" s="98"/>
      <c r="L17" s="98"/>
      <c r="M17" s="98"/>
    </row>
    <row r="18" spans="1:17" hidden="1" x14ac:dyDescent="0.25">
      <c r="A18" s="74" t="s">
        <v>173</v>
      </c>
      <c r="B18" s="76" t="str">
        <f t="shared" si="1"/>
        <v>Hide</v>
      </c>
      <c r="C18" s="74" t="str">
        <f>"""Ceres NTFB Live"",""NTFB Live"",""5766"",""1"",""Invt. Pick"",""2"",""ITPN-207423"""</f>
        <v>"Ceres NTFB Live","NTFB Live","5766","1","Invt. Pick","2","ITPN-207423"</v>
      </c>
      <c r="E18" s="74" t="str">
        <f>"A107580"</f>
        <v>A107580</v>
      </c>
      <c r="F18" s="74" t="str">
        <f>"ITPN-207423"</f>
        <v>ITPN-207423</v>
      </c>
      <c r="I18" s="98"/>
      <c r="J18" s="98"/>
      <c r="K18" s="98"/>
      <c r="L18" s="98"/>
      <c r="M18" s="98"/>
    </row>
    <row r="19" spans="1:17" hidden="1" x14ac:dyDescent="0.25">
      <c r="A19" s="74" t="s">
        <v>173</v>
      </c>
      <c r="B19" s="76" t="str">
        <f t="shared" si="1"/>
        <v>Hide</v>
      </c>
      <c r="C19" s="74" t="str">
        <f>"""Ceres NTFB Live"",""NTFB Live"",""5766"",""1"",""Invt. Pick"",""2"",""ITPN-207424"""</f>
        <v>"Ceres NTFB Live","NTFB Live","5766","1","Invt. Pick","2","ITPN-207424"</v>
      </c>
      <c r="E19" s="74" t="str">
        <f>"A107796"</f>
        <v>A107796</v>
      </c>
      <c r="F19" s="74" t="str">
        <f>"ITPN-207424"</f>
        <v>ITPN-207424</v>
      </c>
      <c r="I19" s="98"/>
      <c r="J19" s="98"/>
      <c r="K19" s="98"/>
      <c r="L19" s="98"/>
      <c r="M19" s="98"/>
    </row>
    <row r="20" spans="1:17" hidden="1" x14ac:dyDescent="0.25">
      <c r="A20" s="74" t="s">
        <v>173</v>
      </c>
      <c r="B20" s="76" t="str">
        <f t="shared" si="1"/>
        <v>Hide</v>
      </c>
      <c r="C20" s="74" t="str">
        <f>"""Ceres NTFB Live"",""NTFB Live"",""5766"",""1"",""Invt. Pick"",""2"",""ITPN-207425"""</f>
        <v>"Ceres NTFB Live","NTFB Live","5766","1","Invt. Pick","2","ITPN-207425"</v>
      </c>
      <c r="E20" s="74" t="str">
        <f>"A107796"</f>
        <v>A107796</v>
      </c>
      <c r="F20" s="74" t="str">
        <f>"ITPN-207425"</f>
        <v>ITPN-207425</v>
      </c>
      <c r="I20" s="98"/>
      <c r="J20" s="98"/>
      <c r="K20" s="98"/>
      <c r="L20" s="98"/>
      <c r="M20" s="98"/>
    </row>
    <row r="21" spans="1:17" hidden="1" x14ac:dyDescent="0.25">
      <c r="A21" s="74" t="s">
        <v>6</v>
      </c>
      <c r="B21" s="76" t="str">
        <f t="shared" ref="B21:B31" si="2">B22</f>
        <v>Hide</v>
      </c>
      <c r="C21" s="74" t="s">
        <v>1481</v>
      </c>
      <c r="E21" s="74" t="str">
        <f>E12</f>
        <v>A107495</v>
      </c>
      <c r="F21" s="74" t="str">
        <f>F12</f>
        <v>ITPN-207417</v>
      </c>
      <c r="I21" s="98"/>
      <c r="J21" s="98"/>
      <c r="K21" s="98"/>
      <c r="L21" s="98"/>
      <c r="M21" s="98"/>
    </row>
    <row r="22" spans="1:17" hidden="1" x14ac:dyDescent="0.25">
      <c r="A22" s="74" t="s">
        <v>6</v>
      </c>
      <c r="B22" s="76" t="str">
        <f t="shared" si="2"/>
        <v>Hide</v>
      </c>
      <c r="E22" s="92" t="s">
        <v>1479</v>
      </c>
      <c r="F22" s="92" t="s">
        <v>1478</v>
      </c>
      <c r="I22" s="98"/>
      <c r="J22" s="98"/>
      <c r="K22" s="98"/>
      <c r="L22" s="98"/>
      <c r="M22" s="98"/>
    </row>
    <row r="23" spans="1:17" hidden="1" x14ac:dyDescent="0.25">
      <c r="B23" s="76" t="str">
        <f t="shared" si="2"/>
        <v>Hide</v>
      </c>
      <c r="E23" s="101" t="s">
        <v>20</v>
      </c>
      <c r="F23" s="184" t="s">
        <v>179</v>
      </c>
      <c r="G23" s="185"/>
      <c r="H23" s="185"/>
      <c r="I23" s="185"/>
      <c r="J23" s="185"/>
      <c r="K23" s="185"/>
      <c r="L23" s="185"/>
      <c r="M23" s="186"/>
    </row>
    <row r="24" spans="1:17" hidden="1" x14ac:dyDescent="0.25">
      <c r="B24" s="76" t="str">
        <f t="shared" si="2"/>
        <v>Hide</v>
      </c>
      <c r="F24" s="187"/>
      <c r="G24" s="188"/>
      <c r="H24" s="188"/>
      <c r="I24" s="188"/>
      <c r="J24" s="188"/>
      <c r="K24" s="188"/>
      <c r="L24" s="188"/>
      <c r="M24" s="189"/>
    </row>
    <row r="25" spans="1:17" ht="15.75" hidden="1" thickBot="1" x14ac:dyDescent="0.3">
      <c r="B25" s="76" t="str">
        <f t="shared" si="2"/>
        <v>Hide</v>
      </c>
      <c r="F25" s="190"/>
      <c r="G25" s="191"/>
      <c r="H25" s="191"/>
      <c r="I25" s="191"/>
      <c r="J25" s="191"/>
      <c r="K25" s="191"/>
      <c r="L25" s="191"/>
      <c r="M25" s="192"/>
    </row>
    <row r="26" spans="1:17" hidden="1" x14ac:dyDescent="0.25">
      <c r="B26" s="76" t="str">
        <f t="shared" si="2"/>
        <v>Hide</v>
      </c>
    </row>
    <row r="27" spans="1:17" hidden="1" x14ac:dyDescent="0.25">
      <c r="B27" s="76" t="str">
        <f t="shared" si="2"/>
        <v>Hide</v>
      </c>
      <c r="E27" s="101" t="s">
        <v>33</v>
      </c>
      <c r="F27" s="100"/>
      <c r="G27" s="102"/>
      <c r="H27" s="101" t="s">
        <v>53</v>
      </c>
      <c r="I27" s="100"/>
      <c r="J27" s="100"/>
      <c r="K27" s="100"/>
    </row>
    <row r="28" spans="1:17" hidden="1" x14ac:dyDescent="0.25">
      <c r="B28" s="76" t="str">
        <f t="shared" si="2"/>
        <v>Hide</v>
      </c>
      <c r="E28" s="101"/>
    </row>
    <row r="29" spans="1:17" hidden="1" x14ac:dyDescent="0.25">
      <c r="B29" s="76" t="str">
        <f t="shared" si="2"/>
        <v>Hide</v>
      </c>
      <c r="E29" s="101" t="s">
        <v>32</v>
      </c>
      <c r="F29" s="100"/>
      <c r="G29" s="102"/>
      <c r="H29" s="101" t="s">
        <v>54</v>
      </c>
      <c r="I29" s="100"/>
      <c r="J29" s="100"/>
      <c r="K29" s="100"/>
    </row>
    <row r="30" spans="1:17" hidden="1" x14ac:dyDescent="0.25">
      <c r="B30" s="76" t="str">
        <f t="shared" si="2"/>
        <v>Hide</v>
      </c>
      <c r="C30" s="74" t="s">
        <v>52</v>
      </c>
      <c r="D30" s="74" t="s">
        <v>52</v>
      </c>
      <c r="F30" s="99"/>
      <c r="I30" s="98"/>
      <c r="J30" s="98"/>
      <c r="K30" s="98"/>
      <c r="L30" s="98"/>
      <c r="M30" s="98"/>
    </row>
    <row r="31" spans="1:17" s="75" customFormat="1" ht="15.95" hidden="1" customHeight="1" x14ac:dyDescent="0.25">
      <c r="A31" s="97"/>
      <c r="B31" s="76" t="str">
        <f t="shared" si="2"/>
        <v>Hide</v>
      </c>
      <c r="C31" s="117" t="s">
        <v>59</v>
      </c>
      <c r="D31" s="94" t="s">
        <v>28</v>
      </c>
      <c r="E31" s="94" t="s">
        <v>26</v>
      </c>
      <c r="F31" s="94" t="s">
        <v>29</v>
      </c>
      <c r="G31" s="94" t="s">
        <v>57</v>
      </c>
      <c r="H31" s="94" t="s">
        <v>27</v>
      </c>
      <c r="I31" s="94" t="s">
        <v>25</v>
      </c>
      <c r="J31" s="94" t="s">
        <v>10</v>
      </c>
      <c r="K31" s="94" t="s">
        <v>24</v>
      </c>
      <c r="L31" s="95"/>
      <c r="M31" s="94" t="s">
        <v>31</v>
      </c>
      <c r="N31" s="93" t="s">
        <v>21</v>
      </c>
      <c r="O31" s="93" t="s">
        <v>22</v>
      </c>
      <c r="P31" s="93" t="s">
        <v>23</v>
      </c>
      <c r="Q31" s="93"/>
    </row>
    <row r="32" spans="1:17" ht="24.95" hidden="1" customHeight="1" x14ac:dyDescent="0.25">
      <c r="B32" s="92" t="str">
        <f>IF(I32="","Hide","Show")</f>
        <v>Hide</v>
      </c>
      <c r="C32" s="74" t="s">
        <v>179</v>
      </c>
      <c r="D32" s="89" t="s">
        <v>179</v>
      </c>
      <c r="E32" s="89" t="s">
        <v>179</v>
      </c>
      <c r="F32" s="89" t="s">
        <v>179</v>
      </c>
      <c r="G32" s="91" t="s">
        <v>180</v>
      </c>
      <c r="H32" s="90" t="s">
        <v>179</v>
      </c>
      <c r="I32" s="89" t="s">
        <v>179</v>
      </c>
      <c r="J32" s="89" t="s">
        <v>179</v>
      </c>
      <c r="K32" s="88"/>
      <c r="L32" s="87"/>
      <c r="M32" s="87"/>
      <c r="N32" s="85" t="s">
        <v>179</v>
      </c>
      <c r="O32" s="85" t="s">
        <v>179</v>
      </c>
      <c r="P32" s="85" t="s">
        <v>179</v>
      </c>
      <c r="Q32" s="86" t="s">
        <v>56</v>
      </c>
    </row>
    <row r="33" spans="1:16" hidden="1" x14ac:dyDescent="0.25">
      <c r="B33" s="74" t="str">
        <f>B32</f>
        <v>Hide</v>
      </c>
      <c r="H33" s="85"/>
      <c r="I33" s="85"/>
    </row>
    <row r="34" spans="1:16" ht="15.75" hidden="1" thickBot="1" x14ac:dyDescent="0.3">
      <c r="B34" s="74" t="str">
        <f>+B33</f>
        <v>Hide</v>
      </c>
      <c r="D34" s="193" t="str">
        <f>+"END OF "&amp;D2</f>
        <v>END OF CHRISTIAN BENEVOLENT OUTREACH  (026637P) - NO F4K</v>
      </c>
      <c r="E34" s="194"/>
      <c r="F34" s="194"/>
      <c r="G34" s="194"/>
      <c r="H34" s="194"/>
      <c r="I34" s="194"/>
      <c r="J34" s="194"/>
      <c r="K34" s="194"/>
      <c r="L34" s="194"/>
      <c r="M34" s="195"/>
    </row>
    <row r="35" spans="1:16" ht="15.75" thickBot="1" x14ac:dyDescent="0.3"/>
    <row r="36" spans="1:16" ht="80.099999999999994" customHeight="1" thickBot="1" x14ac:dyDescent="0.3">
      <c r="A36" s="76" t="s">
        <v>30</v>
      </c>
      <c r="D36" s="166" t="str">
        <f>+F6</f>
        <v>DELIVER</v>
      </c>
      <c r="E36" s="167"/>
      <c r="F36" s="167"/>
      <c r="G36" s="167"/>
      <c r="H36" s="167"/>
      <c r="I36" s="167"/>
      <c r="J36" s="167"/>
      <c r="K36" s="167"/>
      <c r="L36" s="167"/>
      <c r="M36" s="168"/>
    </row>
    <row r="37" spans="1:16" ht="36.75" x14ac:dyDescent="0.45">
      <c r="A37" s="76" t="s">
        <v>30</v>
      </c>
      <c r="D37" s="176" t="s">
        <v>12</v>
      </c>
      <c r="E37" s="177"/>
      <c r="F37" s="196" t="str">
        <f>+F4</f>
        <v>026637P</v>
      </c>
      <c r="G37" s="196"/>
      <c r="H37" s="196"/>
      <c r="I37" s="196"/>
      <c r="J37" s="196"/>
      <c r="K37" s="196"/>
      <c r="L37" s="196"/>
      <c r="M37" s="197"/>
    </row>
    <row r="38" spans="1:16" ht="37.5" customHeight="1" thickBot="1" x14ac:dyDescent="0.5">
      <c r="A38" s="76" t="s">
        <v>30</v>
      </c>
      <c r="D38" s="158" t="s">
        <v>5</v>
      </c>
      <c r="E38" s="159"/>
      <c r="F38" s="161" t="str">
        <f>+F5</f>
        <v>CHRISTIAN BENEVOLENT OUTREACH</v>
      </c>
      <c r="G38" s="161"/>
      <c r="H38" s="161"/>
      <c r="I38" s="161"/>
      <c r="J38" s="161"/>
      <c r="K38" s="161"/>
      <c r="L38" s="161"/>
      <c r="M38" s="162"/>
      <c r="N38" s="84"/>
      <c r="O38" s="84"/>
      <c r="P38" s="84"/>
    </row>
    <row r="39" spans="1:16" ht="33.75" hidden="1" thickBot="1" x14ac:dyDescent="0.45">
      <c r="A39" s="76" t="s">
        <v>19</v>
      </c>
      <c r="D39" s="172" t="s">
        <v>49</v>
      </c>
      <c r="E39" s="173"/>
      <c r="F39" s="82"/>
      <c r="G39" s="83"/>
      <c r="H39" s="82"/>
      <c r="I39" s="82"/>
      <c r="J39" s="82"/>
      <c r="K39" s="82"/>
      <c r="L39" s="82"/>
      <c r="M39" s="81"/>
    </row>
    <row r="40" spans="1:16" ht="30" hidden="1" customHeight="1" x14ac:dyDescent="0.25">
      <c r="A40" s="76" t="s">
        <v>19</v>
      </c>
      <c r="D40" s="80"/>
      <c r="E40" s="78"/>
      <c r="F40" s="174" t="s">
        <v>1481</v>
      </c>
      <c r="G40" s="174"/>
      <c r="H40" s="174"/>
      <c r="I40" s="174"/>
      <c r="J40" s="174"/>
      <c r="K40" s="174"/>
      <c r="L40" s="174"/>
      <c r="M40" s="175"/>
    </row>
    <row r="41" spans="1:16" ht="30" hidden="1" customHeight="1" x14ac:dyDescent="0.25">
      <c r="A41" s="76" t="s">
        <v>184</v>
      </c>
      <c r="D41" s="80"/>
      <c r="E41" s="78"/>
      <c r="F41" s="174" t="str">
        <f>"A107502"</f>
        <v>A107502</v>
      </c>
      <c r="G41" s="174"/>
      <c r="H41" s="174"/>
      <c r="I41" s="174"/>
      <c r="J41" s="174"/>
      <c r="K41" s="174"/>
      <c r="L41" s="174"/>
      <c r="M41" s="175"/>
    </row>
    <row r="42" spans="1:16" ht="30" hidden="1" customHeight="1" x14ac:dyDescent="0.25">
      <c r="A42" s="76" t="s">
        <v>184</v>
      </c>
      <c r="D42" s="80"/>
      <c r="E42" s="78"/>
      <c r="F42" s="174" t="str">
        <f>"A107580"</f>
        <v>A107580</v>
      </c>
      <c r="G42" s="174"/>
      <c r="H42" s="174"/>
      <c r="I42" s="174"/>
      <c r="J42" s="174"/>
      <c r="K42" s="174"/>
      <c r="L42" s="174"/>
      <c r="M42" s="175"/>
    </row>
    <row r="43" spans="1:16" ht="30" hidden="1" customHeight="1" x14ac:dyDescent="0.25">
      <c r="A43" s="76" t="s">
        <v>184</v>
      </c>
      <c r="D43" s="80"/>
      <c r="E43" s="78"/>
      <c r="F43" s="174" t="str">
        <f>"A107796"</f>
        <v>A107796</v>
      </c>
      <c r="G43" s="174"/>
      <c r="H43" s="174"/>
      <c r="I43" s="174"/>
      <c r="J43" s="174"/>
      <c r="K43" s="174"/>
      <c r="L43" s="174"/>
      <c r="M43" s="175"/>
    </row>
    <row r="44" spans="1:16" ht="15.75" hidden="1" customHeight="1" thickBot="1" x14ac:dyDescent="0.3">
      <c r="A44" s="76" t="s">
        <v>19</v>
      </c>
      <c r="D44" s="80"/>
      <c r="E44" s="78"/>
      <c r="F44" s="78"/>
      <c r="G44" s="79"/>
      <c r="H44" s="78"/>
      <c r="I44" s="78"/>
      <c r="J44" s="78"/>
      <c r="K44" s="78"/>
      <c r="L44" s="78"/>
      <c r="M44" s="77"/>
    </row>
    <row r="45" spans="1:16" ht="36.75" x14ac:dyDescent="0.45">
      <c r="A45" s="76" t="s">
        <v>30</v>
      </c>
      <c r="D45" s="176" t="s">
        <v>50</v>
      </c>
      <c r="E45" s="177"/>
      <c r="F45" s="178">
        <f>+F7</f>
        <v>42612</v>
      </c>
      <c r="G45" s="179"/>
      <c r="H45" s="179"/>
      <c r="I45" s="179"/>
      <c r="J45" s="179"/>
      <c r="K45" s="179"/>
      <c r="L45" s="179"/>
      <c r="M45" s="180"/>
    </row>
    <row r="46" spans="1:16" ht="37.5" thickBot="1" x14ac:dyDescent="0.5">
      <c r="A46" s="76" t="s">
        <v>30</v>
      </c>
      <c r="D46" s="158" t="s">
        <v>32</v>
      </c>
      <c r="E46" s="159"/>
      <c r="F46" s="160"/>
      <c r="G46" s="161"/>
      <c r="H46" s="161"/>
      <c r="I46" s="161"/>
      <c r="J46" s="161"/>
      <c r="K46" s="161"/>
      <c r="L46" s="161"/>
      <c r="M46" s="162"/>
    </row>
    <row r="47" spans="1:16" ht="80.099999999999994" customHeight="1" thickBot="1" x14ac:dyDescent="0.3">
      <c r="A47" s="76" t="s">
        <v>30</v>
      </c>
      <c r="D47" s="163" t="s">
        <v>51</v>
      </c>
      <c r="E47" s="164"/>
      <c r="F47" s="164"/>
      <c r="G47" s="164"/>
      <c r="H47" s="164"/>
      <c r="I47" s="164"/>
      <c r="J47" s="164"/>
      <c r="K47" s="164"/>
      <c r="L47" s="164"/>
      <c r="M47" s="165"/>
    </row>
    <row r="48" spans="1:16" ht="90" customHeight="1" thickBot="1" x14ac:dyDescent="0.3">
      <c r="A48" s="76" t="s">
        <v>30</v>
      </c>
      <c r="D48" s="166" t="str">
        <f>IF(F6="DELIVER",G6,F6)</f>
        <v>COLLIN 1</v>
      </c>
      <c r="E48" s="167"/>
      <c r="F48" s="167"/>
      <c r="G48" s="167"/>
      <c r="H48" s="167"/>
      <c r="I48" s="167"/>
      <c r="J48" s="167"/>
      <c r="K48" s="167"/>
      <c r="L48" s="167"/>
      <c r="M48" s="168"/>
    </row>
    <row r="49" spans="1:13" ht="60" customHeight="1" thickBot="1" x14ac:dyDescent="0.3">
      <c r="A49" s="76" t="s">
        <v>30</v>
      </c>
      <c r="D49" s="169" t="s">
        <v>55</v>
      </c>
      <c r="E49" s="170"/>
      <c r="F49" s="170"/>
      <c r="G49" s="170"/>
      <c r="H49" s="170"/>
      <c r="I49" s="170"/>
      <c r="J49" s="170"/>
      <c r="K49" s="170"/>
      <c r="L49" s="170"/>
      <c r="M49" s="171"/>
    </row>
  </sheetData>
  <mergeCells count="20">
    <mergeCell ref="D45:E45"/>
    <mergeCell ref="F45:M45"/>
    <mergeCell ref="D2:M2"/>
    <mergeCell ref="F23:M25"/>
    <mergeCell ref="D34:M34"/>
    <mergeCell ref="D36:M36"/>
    <mergeCell ref="D37:E37"/>
    <mergeCell ref="F37:M37"/>
    <mergeCell ref="F41:M41"/>
    <mergeCell ref="F42:M42"/>
    <mergeCell ref="F43:M43"/>
    <mergeCell ref="D38:E38"/>
    <mergeCell ref="F38:M38"/>
    <mergeCell ref="D39:E39"/>
    <mergeCell ref="F40:M40"/>
    <mergeCell ref="D46:E46"/>
    <mergeCell ref="F46:M46"/>
    <mergeCell ref="D47:M47"/>
    <mergeCell ref="D48:M48"/>
    <mergeCell ref="D49:M49"/>
  </mergeCells>
  <conditionalFormatting sqref="F6">
    <cfRule type="cellIs" dxfId="4" priority="5" operator="equal">
      <formula>"DELIVER"</formula>
    </cfRule>
  </conditionalFormatting>
  <conditionalFormatting sqref="D36">
    <cfRule type="cellIs" dxfId="3" priority="4" operator="equal">
      <formula>"DELIVER"</formula>
    </cfRule>
  </conditionalFormatting>
  <conditionalFormatting sqref="D2:M2">
    <cfRule type="expression" dxfId="2" priority="3">
      <formula>$F$6="DELIVER"</formula>
    </cfRule>
  </conditionalFormatting>
  <conditionalFormatting sqref="G6">
    <cfRule type="expression" dxfId="1" priority="2">
      <formula>$F$6="DELIVER"</formula>
    </cfRule>
  </conditionalFormatting>
  <conditionalFormatting sqref="D48">
    <cfRule type="expression" dxfId="0" priority="1">
      <formula>+F6="DELIVER"</formula>
    </cfRule>
  </conditionalFormatting>
  <pageMargins left="0.25" right="0.25" top="1.25" bottom="0.25" header="0.3" footer="0.3"/>
  <pageSetup fitToHeight="0" orientation="landscape" r:id="rId1"/>
  <rowBreaks count="1" manualBreakCount="1">
    <brk id="3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99</vt:i4>
      </vt:variant>
      <vt:variant>
        <vt:lpstr>Named Ranges</vt:lpstr>
      </vt:variant>
      <vt:variant>
        <vt:i4>196</vt:i4>
      </vt:variant>
    </vt:vector>
  </HeadingPairs>
  <TitlesOfParts>
    <vt:vector size="295" baseType="lpstr">
      <vt:lpstr>Options</vt:lpstr>
      <vt:lpstr>PICK LOG</vt:lpstr>
      <vt:lpstr>F4K SIGN-IN</vt:lpstr>
      <vt:lpstr>001042RA</vt:lpstr>
      <vt:lpstr>002051P</vt:lpstr>
      <vt:lpstr>002052P</vt:lpstr>
      <vt:lpstr>002098P</vt:lpstr>
      <vt:lpstr>002127P</vt:lpstr>
      <vt:lpstr>002218P</vt:lpstr>
      <vt:lpstr>002341P</vt:lpstr>
      <vt:lpstr>002491P</vt:lpstr>
      <vt:lpstr>002719P</vt:lpstr>
      <vt:lpstr>003405P</vt:lpstr>
      <vt:lpstr>003511RY</vt:lpstr>
      <vt:lpstr>003549RA</vt:lpstr>
      <vt:lpstr>004052HSF</vt:lpstr>
      <vt:lpstr>008146P</vt:lpstr>
      <vt:lpstr>026030P</vt:lpstr>
      <vt:lpstr>026056P5</vt:lpstr>
      <vt:lpstr>026066RA1</vt:lpstr>
      <vt:lpstr>026077P</vt:lpstr>
      <vt:lpstr>026284P</vt:lpstr>
      <vt:lpstr>026392P</vt:lpstr>
      <vt:lpstr>026508P</vt:lpstr>
      <vt:lpstr>026536RA</vt:lpstr>
      <vt:lpstr>026575P</vt:lpstr>
      <vt:lpstr>026637P</vt:lpstr>
      <vt:lpstr>001042RA (2)</vt:lpstr>
      <vt:lpstr>002051P (2)</vt:lpstr>
      <vt:lpstr>002052P (2)</vt:lpstr>
      <vt:lpstr>002098P (2)</vt:lpstr>
      <vt:lpstr>002127P (2)</vt:lpstr>
      <vt:lpstr>002218P (2)</vt:lpstr>
      <vt:lpstr>002341P (2)</vt:lpstr>
      <vt:lpstr>002491P (2)</vt:lpstr>
      <vt:lpstr>002719P (2)</vt:lpstr>
      <vt:lpstr>003405P (2)</vt:lpstr>
      <vt:lpstr>003511RY (2)</vt:lpstr>
      <vt:lpstr>003549RA (2)</vt:lpstr>
      <vt:lpstr>004052HSF (2)</vt:lpstr>
      <vt:lpstr>008146P (2)</vt:lpstr>
      <vt:lpstr>026030P (2)</vt:lpstr>
      <vt:lpstr>026056P5 (2)</vt:lpstr>
      <vt:lpstr>026066RA1 (2)</vt:lpstr>
      <vt:lpstr>026077P (2)</vt:lpstr>
      <vt:lpstr>026284P (2)</vt:lpstr>
      <vt:lpstr>026392P (2)</vt:lpstr>
      <vt:lpstr>026508P (2)</vt:lpstr>
      <vt:lpstr>026536RA (2)</vt:lpstr>
      <vt:lpstr>026575P (2)</vt:lpstr>
      <vt:lpstr>026637P (2)</vt:lpstr>
      <vt:lpstr>001042RA (3)</vt:lpstr>
      <vt:lpstr>002051P (3)</vt:lpstr>
      <vt:lpstr>002052P (3)</vt:lpstr>
      <vt:lpstr>002098P (3)</vt:lpstr>
      <vt:lpstr>002127P (3)</vt:lpstr>
      <vt:lpstr>002218P (3)</vt:lpstr>
      <vt:lpstr>002341P (3)</vt:lpstr>
      <vt:lpstr>002491P (3)</vt:lpstr>
      <vt:lpstr>002719P (3)</vt:lpstr>
      <vt:lpstr>003405P (3)</vt:lpstr>
      <vt:lpstr>003511RY (3)</vt:lpstr>
      <vt:lpstr>003549RA (3)</vt:lpstr>
      <vt:lpstr>004052HSF (3)</vt:lpstr>
      <vt:lpstr>008146P (3)</vt:lpstr>
      <vt:lpstr>026030P (3)</vt:lpstr>
      <vt:lpstr>026056P5 (3)</vt:lpstr>
      <vt:lpstr>026066RA1 (3)</vt:lpstr>
      <vt:lpstr>026077P (3)</vt:lpstr>
      <vt:lpstr>026284P (3)</vt:lpstr>
      <vt:lpstr>026392P (3)</vt:lpstr>
      <vt:lpstr>026508P (3)</vt:lpstr>
      <vt:lpstr>026536RA (3)</vt:lpstr>
      <vt:lpstr>026575P (3)</vt:lpstr>
      <vt:lpstr>026637P (3)</vt:lpstr>
      <vt:lpstr>001042RA (4)</vt:lpstr>
      <vt:lpstr>002051P (4)</vt:lpstr>
      <vt:lpstr>002052P (4)</vt:lpstr>
      <vt:lpstr>002098P (4)</vt:lpstr>
      <vt:lpstr>002127P (4)</vt:lpstr>
      <vt:lpstr>002218P (4)</vt:lpstr>
      <vt:lpstr>002341P (4)</vt:lpstr>
      <vt:lpstr>002491P (4)</vt:lpstr>
      <vt:lpstr>002719P (4)</vt:lpstr>
      <vt:lpstr>003405P (4)</vt:lpstr>
      <vt:lpstr>003511RY (4)</vt:lpstr>
      <vt:lpstr>003549RA (4)</vt:lpstr>
      <vt:lpstr>004052HSF (4)</vt:lpstr>
      <vt:lpstr>008146P (4)</vt:lpstr>
      <vt:lpstr>026030P (4)</vt:lpstr>
      <vt:lpstr>026056P5 (4)</vt:lpstr>
      <vt:lpstr>026066RA1 (4)</vt:lpstr>
      <vt:lpstr>026077P (4)</vt:lpstr>
      <vt:lpstr>026284P (4)</vt:lpstr>
      <vt:lpstr>026392P (4)</vt:lpstr>
      <vt:lpstr>026508P (4)</vt:lpstr>
      <vt:lpstr>026536RA (4)</vt:lpstr>
      <vt:lpstr>026575P (4)</vt:lpstr>
      <vt:lpstr>026637P (4)</vt:lpstr>
      <vt:lpstr>'001042RA'!Print_Area</vt:lpstr>
      <vt:lpstr>'001042RA (2)'!Print_Area</vt:lpstr>
      <vt:lpstr>'001042RA (3)'!Print_Area</vt:lpstr>
      <vt:lpstr>'001042RA (4)'!Print_Area</vt:lpstr>
      <vt:lpstr>'002051P'!Print_Area</vt:lpstr>
      <vt:lpstr>'002051P (2)'!Print_Area</vt:lpstr>
      <vt:lpstr>'002051P (3)'!Print_Area</vt:lpstr>
      <vt:lpstr>'002051P (4)'!Print_Area</vt:lpstr>
      <vt:lpstr>'002052P'!Print_Area</vt:lpstr>
      <vt:lpstr>'002052P (2)'!Print_Area</vt:lpstr>
      <vt:lpstr>'002052P (3)'!Print_Area</vt:lpstr>
      <vt:lpstr>'002052P (4)'!Print_Area</vt:lpstr>
      <vt:lpstr>'002098P'!Print_Area</vt:lpstr>
      <vt:lpstr>'002098P (2)'!Print_Area</vt:lpstr>
      <vt:lpstr>'002098P (3)'!Print_Area</vt:lpstr>
      <vt:lpstr>'002098P (4)'!Print_Area</vt:lpstr>
      <vt:lpstr>'002127P'!Print_Area</vt:lpstr>
      <vt:lpstr>'002127P (2)'!Print_Area</vt:lpstr>
      <vt:lpstr>'002127P (3)'!Print_Area</vt:lpstr>
      <vt:lpstr>'002127P (4)'!Print_Area</vt:lpstr>
      <vt:lpstr>'002218P'!Print_Area</vt:lpstr>
      <vt:lpstr>'002218P (2)'!Print_Area</vt:lpstr>
      <vt:lpstr>'002218P (3)'!Print_Area</vt:lpstr>
      <vt:lpstr>'002218P (4)'!Print_Area</vt:lpstr>
      <vt:lpstr>'002341P'!Print_Area</vt:lpstr>
      <vt:lpstr>'002341P (2)'!Print_Area</vt:lpstr>
      <vt:lpstr>'002341P (3)'!Print_Area</vt:lpstr>
      <vt:lpstr>'002341P (4)'!Print_Area</vt:lpstr>
      <vt:lpstr>'002491P'!Print_Area</vt:lpstr>
      <vt:lpstr>'002491P (2)'!Print_Area</vt:lpstr>
      <vt:lpstr>'002491P (3)'!Print_Area</vt:lpstr>
      <vt:lpstr>'002491P (4)'!Print_Area</vt:lpstr>
      <vt:lpstr>'002719P'!Print_Area</vt:lpstr>
      <vt:lpstr>'002719P (2)'!Print_Area</vt:lpstr>
      <vt:lpstr>'002719P (3)'!Print_Area</vt:lpstr>
      <vt:lpstr>'002719P (4)'!Print_Area</vt:lpstr>
      <vt:lpstr>'003405P'!Print_Area</vt:lpstr>
      <vt:lpstr>'003405P (2)'!Print_Area</vt:lpstr>
      <vt:lpstr>'003405P (3)'!Print_Area</vt:lpstr>
      <vt:lpstr>'003405P (4)'!Print_Area</vt:lpstr>
      <vt:lpstr>'003511RY'!Print_Area</vt:lpstr>
      <vt:lpstr>'003511RY (2)'!Print_Area</vt:lpstr>
      <vt:lpstr>'003511RY (3)'!Print_Area</vt:lpstr>
      <vt:lpstr>'003511RY (4)'!Print_Area</vt:lpstr>
      <vt:lpstr>'003549RA'!Print_Area</vt:lpstr>
      <vt:lpstr>'003549RA (2)'!Print_Area</vt:lpstr>
      <vt:lpstr>'003549RA (3)'!Print_Area</vt:lpstr>
      <vt:lpstr>'003549RA (4)'!Print_Area</vt:lpstr>
      <vt:lpstr>'004052HSF'!Print_Area</vt:lpstr>
      <vt:lpstr>'004052HSF (2)'!Print_Area</vt:lpstr>
      <vt:lpstr>'004052HSF (3)'!Print_Area</vt:lpstr>
      <vt:lpstr>'004052HSF (4)'!Print_Area</vt:lpstr>
      <vt:lpstr>'008146P'!Print_Area</vt:lpstr>
      <vt:lpstr>'008146P (2)'!Print_Area</vt:lpstr>
      <vt:lpstr>'008146P (3)'!Print_Area</vt:lpstr>
      <vt:lpstr>'008146P (4)'!Print_Area</vt:lpstr>
      <vt:lpstr>'026030P'!Print_Area</vt:lpstr>
      <vt:lpstr>'026030P (2)'!Print_Area</vt:lpstr>
      <vt:lpstr>'026030P (3)'!Print_Area</vt:lpstr>
      <vt:lpstr>'026030P (4)'!Print_Area</vt:lpstr>
      <vt:lpstr>'026056P5'!Print_Area</vt:lpstr>
      <vt:lpstr>'026056P5 (2)'!Print_Area</vt:lpstr>
      <vt:lpstr>'026056P5 (3)'!Print_Area</vt:lpstr>
      <vt:lpstr>'026056P5 (4)'!Print_Area</vt:lpstr>
      <vt:lpstr>'026066RA1'!Print_Area</vt:lpstr>
      <vt:lpstr>'026066RA1 (2)'!Print_Area</vt:lpstr>
      <vt:lpstr>'026066RA1 (3)'!Print_Area</vt:lpstr>
      <vt:lpstr>'026066RA1 (4)'!Print_Area</vt:lpstr>
      <vt:lpstr>'026077P'!Print_Area</vt:lpstr>
      <vt:lpstr>'026077P (2)'!Print_Area</vt:lpstr>
      <vt:lpstr>'026077P (3)'!Print_Area</vt:lpstr>
      <vt:lpstr>'026077P (4)'!Print_Area</vt:lpstr>
      <vt:lpstr>'026284P'!Print_Area</vt:lpstr>
      <vt:lpstr>'026284P (2)'!Print_Area</vt:lpstr>
      <vt:lpstr>'026284P (3)'!Print_Area</vt:lpstr>
      <vt:lpstr>'026284P (4)'!Print_Area</vt:lpstr>
      <vt:lpstr>'026392P'!Print_Area</vt:lpstr>
      <vt:lpstr>'026392P (2)'!Print_Area</vt:lpstr>
      <vt:lpstr>'026392P (3)'!Print_Area</vt:lpstr>
      <vt:lpstr>'026392P (4)'!Print_Area</vt:lpstr>
      <vt:lpstr>'026508P'!Print_Area</vt:lpstr>
      <vt:lpstr>'026508P (2)'!Print_Area</vt:lpstr>
      <vt:lpstr>'026508P (3)'!Print_Area</vt:lpstr>
      <vt:lpstr>'026508P (4)'!Print_Area</vt:lpstr>
      <vt:lpstr>'026536RA'!Print_Area</vt:lpstr>
      <vt:lpstr>'026536RA (2)'!Print_Area</vt:lpstr>
      <vt:lpstr>'026536RA (3)'!Print_Area</vt:lpstr>
      <vt:lpstr>'026536RA (4)'!Print_Area</vt:lpstr>
      <vt:lpstr>'026575P'!Print_Area</vt:lpstr>
      <vt:lpstr>'026575P (2)'!Print_Area</vt:lpstr>
      <vt:lpstr>'026575P (3)'!Print_Area</vt:lpstr>
      <vt:lpstr>'026575P (4)'!Print_Area</vt:lpstr>
      <vt:lpstr>'026637P'!Print_Area</vt:lpstr>
      <vt:lpstr>'026637P (2)'!Print_Area</vt:lpstr>
      <vt:lpstr>'026637P (3)'!Print_Area</vt:lpstr>
      <vt:lpstr>'026637P (4)'!Print_Area</vt:lpstr>
      <vt:lpstr>'F4K SIGN-IN'!Print_Area</vt:lpstr>
      <vt:lpstr>'PICK LOG'!Print_Area</vt:lpstr>
      <vt:lpstr>'001042RA'!Print_Titles</vt:lpstr>
      <vt:lpstr>'001042RA (2)'!Print_Titles</vt:lpstr>
      <vt:lpstr>'001042RA (3)'!Print_Titles</vt:lpstr>
      <vt:lpstr>'001042RA (4)'!Print_Titles</vt:lpstr>
      <vt:lpstr>'002051P'!Print_Titles</vt:lpstr>
      <vt:lpstr>'002051P (2)'!Print_Titles</vt:lpstr>
      <vt:lpstr>'002051P (3)'!Print_Titles</vt:lpstr>
      <vt:lpstr>'002051P (4)'!Print_Titles</vt:lpstr>
      <vt:lpstr>'002052P'!Print_Titles</vt:lpstr>
      <vt:lpstr>'002052P (2)'!Print_Titles</vt:lpstr>
      <vt:lpstr>'002052P (3)'!Print_Titles</vt:lpstr>
      <vt:lpstr>'002052P (4)'!Print_Titles</vt:lpstr>
      <vt:lpstr>'002098P'!Print_Titles</vt:lpstr>
      <vt:lpstr>'002098P (2)'!Print_Titles</vt:lpstr>
      <vt:lpstr>'002098P (3)'!Print_Titles</vt:lpstr>
      <vt:lpstr>'002098P (4)'!Print_Titles</vt:lpstr>
      <vt:lpstr>'002127P'!Print_Titles</vt:lpstr>
      <vt:lpstr>'002127P (2)'!Print_Titles</vt:lpstr>
      <vt:lpstr>'002127P (3)'!Print_Titles</vt:lpstr>
      <vt:lpstr>'002127P (4)'!Print_Titles</vt:lpstr>
      <vt:lpstr>'002218P'!Print_Titles</vt:lpstr>
      <vt:lpstr>'002218P (2)'!Print_Titles</vt:lpstr>
      <vt:lpstr>'002218P (3)'!Print_Titles</vt:lpstr>
      <vt:lpstr>'002218P (4)'!Print_Titles</vt:lpstr>
      <vt:lpstr>'002341P'!Print_Titles</vt:lpstr>
      <vt:lpstr>'002341P (2)'!Print_Titles</vt:lpstr>
      <vt:lpstr>'002341P (3)'!Print_Titles</vt:lpstr>
      <vt:lpstr>'002341P (4)'!Print_Titles</vt:lpstr>
      <vt:lpstr>'002491P'!Print_Titles</vt:lpstr>
      <vt:lpstr>'002491P (2)'!Print_Titles</vt:lpstr>
      <vt:lpstr>'002491P (3)'!Print_Titles</vt:lpstr>
      <vt:lpstr>'002491P (4)'!Print_Titles</vt:lpstr>
      <vt:lpstr>'002719P'!Print_Titles</vt:lpstr>
      <vt:lpstr>'002719P (2)'!Print_Titles</vt:lpstr>
      <vt:lpstr>'002719P (3)'!Print_Titles</vt:lpstr>
      <vt:lpstr>'002719P (4)'!Print_Titles</vt:lpstr>
      <vt:lpstr>'003405P'!Print_Titles</vt:lpstr>
      <vt:lpstr>'003405P (2)'!Print_Titles</vt:lpstr>
      <vt:lpstr>'003405P (3)'!Print_Titles</vt:lpstr>
      <vt:lpstr>'003405P (4)'!Print_Titles</vt:lpstr>
      <vt:lpstr>'003511RY'!Print_Titles</vt:lpstr>
      <vt:lpstr>'003511RY (2)'!Print_Titles</vt:lpstr>
      <vt:lpstr>'003511RY (3)'!Print_Titles</vt:lpstr>
      <vt:lpstr>'003511RY (4)'!Print_Titles</vt:lpstr>
      <vt:lpstr>'003549RA'!Print_Titles</vt:lpstr>
      <vt:lpstr>'003549RA (2)'!Print_Titles</vt:lpstr>
      <vt:lpstr>'003549RA (3)'!Print_Titles</vt:lpstr>
      <vt:lpstr>'003549RA (4)'!Print_Titles</vt:lpstr>
      <vt:lpstr>'004052HSF'!Print_Titles</vt:lpstr>
      <vt:lpstr>'004052HSF (2)'!Print_Titles</vt:lpstr>
      <vt:lpstr>'004052HSF (3)'!Print_Titles</vt:lpstr>
      <vt:lpstr>'004052HSF (4)'!Print_Titles</vt:lpstr>
      <vt:lpstr>'008146P'!Print_Titles</vt:lpstr>
      <vt:lpstr>'008146P (2)'!Print_Titles</vt:lpstr>
      <vt:lpstr>'008146P (3)'!Print_Titles</vt:lpstr>
      <vt:lpstr>'008146P (4)'!Print_Titles</vt:lpstr>
      <vt:lpstr>'026030P'!Print_Titles</vt:lpstr>
      <vt:lpstr>'026030P (2)'!Print_Titles</vt:lpstr>
      <vt:lpstr>'026030P (3)'!Print_Titles</vt:lpstr>
      <vt:lpstr>'026030P (4)'!Print_Titles</vt:lpstr>
      <vt:lpstr>'026056P5'!Print_Titles</vt:lpstr>
      <vt:lpstr>'026056P5 (2)'!Print_Titles</vt:lpstr>
      <vt:lpstr>'026056P5 (3)'!Print_Titles</vt:lpstr>
      <vt:lpstr>'026056P5 (4)'!Print_Titles</vt:lpstr>
      <vt:lpstr>'026066RA1'!Print_Titles</vt:lpstr>
      <vt:lpstr>'026066RA1 (2)'!Print_Titles</vt:lpstr>
      <vt:lpstr>'026066RA1 (3)'!Print_Titles</vt:lpstr>
      <vt:lpstr>'026066RA1 (4)'!Print_Titles</vt:lpstr>
      <vt:lpstr>'026077P'!Print_Titles</vt:lpstr>
      <vt:lpstr>'026077P (2)'!Print_Titles</vt:lpstr>
      <vt:lpstr>'026077P (3)'!Print_Titles</vt:lpstr>
      <vt:lpstr>'026077P (4)'!Print_Titles</vt:lpstr>
      <vt:lpstr>'026284P'!Print_Titles</vt:lpstr>
      <vt:lpstr>'026284P (2)'!Print_Titles</vt:lpstr>
      <vt:lpstr>'026284P (3)'!Print_Titles</vt:lpstr>
      <vt:lpstr>'026284P (4)'!Print_Titles</vt:lpstr>
      <vt:lpstr>'026392P'!Print_Titles</vt:lpstr>
      <vt:lpstr>'026392P (2)'!Print_Titles</vt:lpstr>
      <vt:lpstr>'026392P (3)'!Print_Titles</vt:lpstr>
      <vt:lpstr>'026392P (4)'!Print_Titles</vt:lpstr>
      <vt:lpstr>'026508P'!Print_Titles</vt:lpstr>
      <vt:lpstr>'026508P (2)'!Print_Titles</vt:lpstr>
      <vt:lpstr>'026508P (3)'!Print_Titles</vt:lpstr>
      <vt:lpstr>'026508P (4)'!Print_Titles</vt:lpstr>
      <vt:lpstr>'026536RA'!Print_Titles</vt:lpstr>
      <vt:lpstr>'026536RA (2)'!Print_Titles</vt:lpstr>
      <vt:lpstr>'026536RA (3)'!Print_Titles</vt:lpstr>
      <vt:lpstr>'026536RA (4)'!Print_Titles</vt:lpstr>
      <vt:lpstr>'026575P'!Print_Titles</vt:lpstr>
      <vt:lpstr>'026575P (2)'!Print_Titles</vt:lpstr>
      <vt:lpstr>'026575P (3)'!Print_Titles</vt:lpstr>
      <vt:lpstr>'026575P (4)'!Print_Titles</vt:lpstr>
      <vt:lpstr>'026637P'!Print_Titles</vt:lpstr>
      <vt:lpstr>'026637P (2)'!Print_Titles</vt:lpstr>
      <vt:lpstr>'026637P (3)'!Print_Titles</vt:lpstr>
      <vt:lpstr>'026637P (4)'!Print_Titles</vt:lpstr>
      <vt:lpstr>'F4K SIGN-IN'!Print_Titles</vt:lpstr>
      <vt:lpstr>'PICK LOG'!Print_Titles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PICK TICKET</dc:title>
  <dc:creator>Danny Foreman (North Texas Food Bank)</dc:creator>
  <cp:lastModifiedBy>Danny Foreman</cp:lastModifiedBy>
  <cp:lastPrinted>2016-08-29T13:48:55Z</cp:lastPrinted>
  <dcterms:created xsi:type="dcterms:W3CDTF">2014-06-11T19:01:35Z</dcterms:created>
  <dcterms:modified xsi:type="dcterms:W3CDTF">2016-09-08T13:25:09Z</dcterms:modified>
  <cp:contentStatus>LIVE 1.0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</Properties>
</file>