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showInkAnnotation="0" codeName="ThisWorkbook" autoCompressPictures="0"/>
  <mc:AlternateContent xmlns:mc="http://schemas.openxmlformats.org/markup-compatibility/2006">
    <mc:Choice Requires="x15">
      <x15ac:absPath xmlns:x15ac="http://schemas.microsoft.com/office/spreadsheetml/2010/11/ac" url="C:\work\owasp-mstg\owasp-mstg-ja-20181106-2139X\Checklists\"/>
    </mc:Choice>
  </mc:AlternateContent>
  <xr:revisionPtr revIDLastSave="0" documentId="13_ncr:1_{F61DD0A6-97D8-4CED-811F-C284756744E2}" xr6:coauthVersionLast="43" xr6:coauthVersionMax="43" xr10:uidLastSave="{00000000-0000-0000-0000-000000000000}"/>
  <bookViews>
    <workbookView xWindow="948" yWindow="144" windowWidth="22020" windowHeight="12108" tabRatio="500"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 name="Version history (Japanese)" sheetId="12" r:id="rId8"/>
  </sheets>
  <externalReferences>
    <externalReference r:id="rId9"/>
  </externalReferences>
  <definedNames>
    <definedName name="_xlnm._FilterDatabase" localSheetId="2" hidden="1">'Security Requirements - Android'!$B$3:$I$72</definedName>
    <definedName name="BASE_URL">Dashboard!$D$14</definedName>
    <definedName name="MASVS_VERSION" localSheetId="7">[1]Dashboard!$D$11</definedName>
    <definedName name="MASVS_VERSION">Dashboard!$D$11</definedName>
    <definedName name="MSTG_VERSION">Dashboard!$D$13</definedName>
    <definedName name="_xlnm.Print_Titles" localSheetId="2">'Security Requirements - Android'!$1:$3</definedName>
    <definedName name="_xlnm.Print_Titles" localSheetId="4">'Security Requirements - iOS'!$1:$3</definedName>
    <definedName name="_xlnm.Print_Titles" localSheetId="6">'Version history'!$1:$3</definedName>
    <definedName name="_xlnm.Print_Titles" localSheetId="7">'Version history (Japanese)'!$1:$2</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3" l="1"/>
  <c r="F7" i="3"/>
  <c r="F6" i="3"/>
  <c r="F5" i="3"/>
  <c r="G72" i="1"/>
  <c r="G71" i="1"/>
  <c r="G70" i="1"/>
  <c r="G69" i="1"/>
  <c r="G68" i="1"/>
  <c r="G67" i="1"/>
  <c r="G66" i="1"/>
  <c r="G65" i="1"/>
  <c r="G64" i="1"/>
  <c r="G62" i="1"/>
  <c r="G61" i="1"/>
  <c r="G60" i="1"/>
  <c r="G59" i="1"/>
  <c r="G58" i="1"/>
  <c r="G57" i="1"/>
  <c r="G56" i="1"/>
  <c r="G55" i="1"/>
  <c r="G53" i="1"/>
  <c r="G52" i="1"/>
  <c r="G51" i="1"/>
  <c r="G50" i="1"/>
  <c r="H49" i="1"/>
  <c r="G49" i="1"/>
  <c r="H48" i="1"/>
  <c r="G48" i="1"/>
  <c r="G46" i="1"/>
  <c r="G45" i="1"/>
  <c r="G44" i="1"/>
  <c r="G43" i="1"/>
  <c r="G42" i="1"/>
  <c r="G41" i="1"/>
  <c r="G40" i="1"/>
  <c r="G39" i="1"/>
  <c r="G38" i="1"/>
  <c r="G37" i="1"/>
  <c r="G36" i="1"/>
  <c r="G34" i="1"/>
  <c r="G33" i="1"/>
  <c r="G32" i="1"/>
  <c r="G31" i="1"/>
  <c r="G30" i="1"/>
  <c r="G29" i="1"/>
  <c r="G27" i="1"/>
  <c r="G26" i="1"/>
  <c r="G25" i="1"/>
  <c r="G24" i="1"/>
  <c r="G23" i="1"/>
  <c r="G22" i="1"/>
  <c r="G21" i="1"/>
  <c r="G20" i="1"/>
  <c r="G19" i="1"/>
  <c r="G18" i="1"/>
  <c r="G17" i="1"/>
  <c r="G16" i="1"/>
  <c r="F17" i="11"/>
  <c r="F15" i="1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6" i="10"/>
  <c r="G45" i="10"/>
  <c r="G44" i="10"/>
  <c r="G43" i="10"/>
  <c r="G42" i="10"/>
  <c r="G41" i="10"/>
  <c r="G40" i="10"/>
  <c r="G39" i="10"/>
  <c r="G38" i="10"/>
  <c r="G37" i="10"/>
  <c r="G36" i="10"/>
  <c r="G34" i="10"/>
  <c r="G33" i="10"/>
  <c r="G32" i="10"/>
  <c r="G31" i="10"/>
  <c r="G30" i="10"/>
  <c r="G29" i="10"/>
  <c r="G27" i="10"/>
  <c r="G26" i="10"/>
  <c r="G25" i="10"/>
  <c r="G24" i="10"/>
  <c r="G23" i="10"/>
  <c r="G22" i="10"/>
  <c r="G21" i="10"/>
  <c r="G20" i="10"/>
  <c r="G19" i="10"/>
  <c r="G18" i="10"/>
  <c r="G17" i="10"/>
  <c r="G16" i="10"/>
  <c r="D12" i="6"/>
  <c r="D14" i="6"/>
  <c r="D43" i="7"/>
  <c r="E43" i="7"/>
  <c r="F43" i="7"/>
  <c r="D44" i="7"/>
  <c r="E44" i="7"/>
  <c r="F44" i="7"/>
  <c r="D45" i="7"/>
  <c r="E45" i="7"/>
  <c r="F45" i="7"/>
  <c r="D46" i="7"/>
  <c r="E46" i="7"/>
  <c r="F46" i="7"/>
  <c r="D47" i="7"/>
  <c r="E47" i="7"/>
  <c r="F47" i="7"/>
  <c r="E50" i="7"/>
  <c r="D50" i="7"/>
  <c r="F50" i="7"/>
  <c r="D48" i="7"/>
  <c r="E48" i="7"/>
  <c r="D49" i="7"/>
  <c r="E49" i="7"/>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G8" i="7"/>
  <c r="V8" i="7"/>
</calcChain>
</file>

<file path=xl/sharedStrings.xml><?xml version="1.0" encoding="utf-8"?>
<sst xmlns="http://schemas.openxmlformats.org/spreadsheetml/2006/main" count="862" uniqueCount="299">
  <si>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</si>
  <si>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</si>
  <si>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</si>
  <si>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</si>
  <si>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</si>
  <si>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</si>
  <si>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</si>
  <si>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</si>
  <si>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</si>
  <si>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</si>
  <si>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</si>
  <si>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</si>
  <si>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</si>
  <si>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</si>
  <si>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</si>
  <si>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</si>
  <si>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</si>
  <si>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</si>
  <si>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</si>
  <si>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</si>
  <si>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</si>
  <si>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</si>
  <si>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</si>
  <si>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</si>
  <si>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</si>
  <si>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</si>
  <si>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</si>
  <si>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</si>
  <si>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</si>
  <si>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</si>
  <si>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</si>
  <si>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</si>
  <si>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</si>
  <si>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</si>
  <si>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</si>
  <si>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</si>
  <si>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</si>
  <si>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</si>
  <si>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</si>
  <si>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</si>
  <si>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</si>
  <si>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</si>
  <si>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</si>
  <si>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</si>
  <si>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</si>
  <si>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</si>
  <si>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</si>
  <si>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</si>
  <si>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</si>
  <si>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</si>
  <si>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</si>
  <si>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</si>
  <si>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</si>
  <si>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</si>
  <si>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</si>
  <si>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</si>
  <si>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</si>
  <si>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</si>
  <si>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</si>
  <si>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</si>
  <si>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</si>
  <si>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</si>
  <si>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</si>
  <si>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</si>
  <si>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</si>
  <si>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</si>
  <si>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
  </si>
  <si>
    <t>Comment</t>
  </si>
  <si>
    <t>Pass</t>
  </si>
  <si>
    <t>Fail</t>
  </si>
  <si>
    <t>P</t>
  </si>
  <si>
    <t>F</t>
  </si>
  <si>
    <t>NA</t>
  </si>
  <si>
    <t>%</t>
  </si>
  <si>
    <t>Android</t>
  </si>
  <si>
    <t>iOS</t>
  </si>
  <si>
    <t>MASVS Compliance Score ( / 5)</t>
  </si>
  <si>
    <t>Abdessamad Temmar</t>
  </si>
  <si>
    <t>Bernhard Mueller</t>
  </si>
  <si>
    <t>-</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</si>
  <si>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</si>
  <si>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</si>
  <si>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</si>
  <si>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</si>
  <si>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</si>
  <si>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</si>
  <si>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</si>
  <si>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</si>
  <si>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</si>
  <si>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</si>
  <si>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</si>
  <si>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</si>
  <si>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</si>
  <si>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</si>
  <si>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</si>
  <si>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</si>
  <si>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</si>
  <si>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</si>
  <si>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</si>
  <si>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</si>
  <si>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1.1.0</t>
  </si>
  <si>
    <t>MASVS version</t>
  </si>
  <si>
    <t>Georges Bolssens</t>
  </si>
  <si>
    <t>6.8</t>
  </si>
  <si>
    <t>6.7</t>
  </si>
  <si>
    <t>5.6</t>
  </si>
  <si>
    <t>1.9</t>
  </si>
  <si>
    <t>1.8</t>
  </si>
  <si>
    <t>1.6</t>
  </si>
  <si>
    <t>1.5</t>
  </si>
  <si>
    <t>1.4</t>
  </si>
  <si>
    <t>1.3</t>
  </si>
  <si>
    <t>1.2</t>
  </si>
  <si>
    <t>8.1</t>
  </si>
  <si>
    <t>8.2</t>
  </si>
  <si>
    <t>8.3</t>
  </si>
  <si>
    <t>8.4</t>
  </si>
  <si>
    <t>8.5</t>
  </si>
  <si>
    <t>8.6</t>
  </si>
  <si>
    <t>8.7</t>
  </si>
  <si>
    <t>8.8</t>
  </si>
  <si>
    <t>8.11</t>
  </si>
  <si>
    <t>8.12</t>
  </si>
  <si>
    <r>
      <rPr>
        <b/>
        <sz val="12"/>
        <color theme="1"/>
        <rFont val="Calibri"/>
        <family val="2"/>
      </rPr>
      <t>Sync with MASVS/MSTG v1.1.0</t>
    </r>
    <r>
      <rPr>
        <sz val="12"/>
        <color theme="1"/>
        <rFont val="Calibri"/>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</si>
  <si>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Abderrahmane Aftahi</t>
  </si>
  <si>
    <t>Traduction en français depuis le MASVS 1.1.1</t>
  </si>
  <si>
    <t>Romuald Szkudlarek</t>
  </si>
  <si>
    <t>1.1.0.1</t>
  </si>
  <si>
    <t>1.1.0.2</t>
  </si>
  <si>
    <t>Mise à jour des liens vers le guide 1.1.0</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</si>
  <si>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</si>
  <si>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</si>
  <si>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</si>
  <si>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</si>
  <si>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</si>
  <si>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</si>
  <si>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</si>
  <si>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</si>
  <si>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テスト情報概要</t>
    <rPh sb="3" eb="5">
      <t>ジョウホウ</t>
    </rPh>
    <rPh sb="5" eb="7">
      <t>ガイヨウ</t>
    </rPh>
    <phoneticPr fontId="12"/>
  </si>
  <si>
    <r>
      <t xml:space="preserve">OWASP モバイルアプリケーションセキュリティチェックリスト
</t>
    </r>
    <r>
      <rPr>
        <sz val="14"/>
        <rFont val="メイリオ"/>
        <family val="3"/>
        <charset val="128"/>
        <scheme val="minor"/>
      </rPr>
      <t xml:space="preserve">
OWASP モバイルアプリケーションセキュリティ検証標準ベース</t>
    </r>
    <rPh sb="58" eb="60">
      <t>ケンショウ</t>
    </rPh>
    <rPh sb="60" eb="62">
      <t>ヒョウジュン</t>
    </rPh>
    <phoneticPr fontId="12"/>
  </si>
  <si>
    <t>MASVS バージョン</t>
    <phoneticPr fontId="12"/>
  </si>
  <si>
    <t>オンライン版MSTG</t>
    <rPh sb="5" eb="6">
      <t>バン</t>
    </rPh>
    <phoneticPr fontId="12"/>
  </si>
  <si>
    <t>上記の2行はAndroidおよびiOSチェックリストのすべてのハイパーリンクのベースを構築するために使用されます。
特定のユースケースに合わせて、すべてのハイパーリンクを特定バージョンのMSTGに更新します。</t>
    <rPh sb="0" eb="2">
      <t>ジョウキ</t>
    </rPh>
    <rPh sb="4" eb="5">
      <t>ギョウ</t>
    </rPh>
    <rPh sb="43" eb="45">
      <t>コウチク</t>
    </rPh>
    <rPh sb="50" eb="52">
      <t>シヨウ</t>
    </rPh>
    <rPh sb="58" eb="60">
      <t>トクテイ</t>
    </rPh>
    <rPh sb="68" eb="69">
      <t>ア</t>
    </rPh>
    <rPh sb="85" eb="87">
      <t>トクテイ</t>
    </rPh>
    <rPh sb="98" eb="100">
      <t>コウシン</t>
    </rPh>
    <phoneticPr fontId="12"/>
  </si>
  <si>
    <t>顧客企業名</t>
    <rPh sb="0" eb="2">
      <t>コキャク</t>
    </rPh>
    <rPh sb="2" eb="4">
      <t>キギョウ</t>
    </rPh>
    <rPh sb="4" eb="5">
      <t>メイ</t>
    </rPh>
    <phoneticPr fontId="12"/>
  </si>
  <si>
    <t>テスト場所</t>
    <rPh sb="3" eb="5">
      <t>バショ</t>
    </rPh>
    <phoneticPr fontId="12"/>
  </si>
  <si>
    <t>開始日</t>
    <rPh sb="0" eb="3">
      <t>カイシビ</t>
    </rPh>
    <phoneticPr fontId="12"/>
  </si>
  <si>
    <t>終了日</t>
    <rPh sb="0" eb="3">
      <t>シュウリョウビ</t>
    </rPh>
    <phoneticPr fontId="12"/>
  </si>
  <si>
    <t>テスト実施者名</t>
    <rPh sb="3" eb="6">
      <t>ジッシシャ</t>
    </rPh>
    <rPh sb="6" eb="7">
      <t>メイ</t>
    </rPh>
    <phoneticPr fontId="12"/>
  </si>
  <si>
    <t>テストスコープ</t>
    <phoneticPr fontId="12"/>
  </si>
  <si>
    <t>&lt;アプリ名&gt;アプリで利用可能なすべての機能</t>
    <phoneticPr fontId="12"/>
  </si>
  <si>
    <t>検証レベル</t>
    <rPh sb="0" eb="2">
      <t>ケンショウ</t>
    </rPh>
    <phoneticPr fontId="12"/>
  </si>
  <si>
    <t>&lt;顧客企業名&gt;との協議の結果、レベル1の要件のみを&lt;アプリ名&gt;に適用することに決定した。
レベル1：標準セキュリティ
レベル2：多層防御
レベルR：リバースエンジニアリングに対する耐性</t>
    <phoneticPr fontId="12"/>
  </si>
  <si>
    <t>テスト情報 Android</t>
    <rPh sb="3" eb="5">
      <t>ジョウホウ</t>
    </rPh>
    <phoneticPr fontId="12"/>
  </si>
  <si>
    <t>アプリケーション名</t>
    <rPh sb="8" eb="9">
      <t>メイ</t>
    </rPh>
    <phoneticPr fontId="12"/>
  </si>
  <si>
    <t>ファイル名</t>
    <rPh sb="4" eb="5">
      <t>メイ</t>
    </rPh>
    <phoneticPr fontId="12"/>
  </si>
  <si>
    <t>バージョン</t>
    <phoneticPr fontId="12"/>
  </si>
  <si>
    <t>APK の SHA256 ハッシュ
(shasum, openssl, sha256sum を使用して取得)</t>
    <rPh sb="47" eb="49">
      <t>シヨウ</t>
    </rPh>
    <rPh sb="51" eb="53">
      <t>シュトク</t>
    </rPh>
    <phoneticPr fontId="12"/>
  </si>
  <si>
    <t>テスト情報 iOS</t>
    <rPh sb="3" eb="5">
      <t>ジョウホウ</t>
    </rPh>
    <phoneticPr fontId="12"/>
  </si>
  <si>
    <t>App Store リンク</t>
    <phoneticPr fontId="12"/>
  </si>
  <si>
    <t>Google Play Store リンク</t>
    <phoneticPr fontId="12"/>
  </si>
  <si>
    <t>IPA の SHA256 ハッシュ
(shasum, openssl, sha256sum を使用して取得)</t>
    <rPh sb="47" eb="49">
      <t>シヨウ</t>
    </rPh>
    <rPh sb="51" eb="53">
      <t>シュトク</t>
    </rPh>
    <phoneticPr fontId="12"/>
  </si>
  <si>
    <t>顧客代表者および連絡先情報</t>
    <rPh sb="0" eb="2">
      <t>コキャク</t>
    </rPh>
    <rPh sb="2" eb="5">
      <t>ダイヒョウシャ</t>
    </rPh>
    <rPh sb="8" eb="11">
      <t>レンラクサキ</t>
    </rPh>
    <rPh sb="11" eb="13">
      <t>ジョウホウ</t>
    </rPh>
    <phoneticPr fontId="12"/>
  </si>
  <si>
    <t>氏名</t>
    <rPh sb="0" eb="2">
      <t>シメイ</t>
    </rPh>
    <phoneticPr fontId="12"/>
  </si>
  <si>
    <t>所属</t>
    <rPh sb="0" eb="2">
      <t>ショゾク</t>
    </rPh>
    <phoneticPr fontId="12"/>
  </si>
  <si>
    <t>役職</t>
    <rPh sb="0" eb="2">
      <t>ヤクショク</t>
    </rPh>
    <phoneticPr fontId="12"/>
  </si>
  <si>
    <t>電話番号</t>
    <rPh sb="0" eb="2">
      <t>デンワ</t>
    </rPh>
    <rPh sb="2" eb="4">
      <t>バンゴウ</t>
    </rPh>
    <phoneticPr fontId="12"/>
  </si>
  <si>
    <t>電子メールアドレス</t>
    <rPh sb="0" eb="2">
      <t>デンシ</t>
    </rPh>
    <phoneticPr fontId="12"/>
  </si>
  <si>
    <t>管理者向けサマリー</t>
    <rPh sb="0" eb="3">
      <t>カンリシャ</t>
    </rPh>
    <rPh sb="3" eb="4">
      <t>ム</t>
    </rPh>
    <phoneticPr fontId="12"/>
  </si>
  <si>
    <t>MASVS 準拠スコア ( / 5)</t>
    <rPh sb="6" eb="8">
      <t>ジュンキョ</t>
    </rPh>
    <phoneticPr fontId="12"/>
  </si>
  <si>
    <t>V1: アーキテクチャ、設計、脅威モデリング</t>
    <rPh sb="12" eb="14">
      <t>セッケイ</t>
    </rPh>
    <rPh sb="15" eb="17">
      <t>キョウイ</t>
    </rPh>
    <phoneticPr fontId="3"/>
  </si>
  <si>
    <t>V2: データストレージとプライバシー</t>
  </si>
  <si>
    <t>V3: 暗号化</t>
    <rPh sb="4" eb="7">
      <t>アンゴウカ</t>
    </rPh>
    <phoneticPr fontId="3"/>
  </si>
  <si>
    <t>V4: 認証とセッション管理</t>
    <rPh sb="4" eb="6">
      <t>ニンショウ</t>
    </rPh>
    <rPh sb="12" eb="14">
      <t>カンリ</t>
    </rPh>
    <phoneticPr fontId="3"/>
  </si>
  <si>
    <t>V5: ネットワーク通信</t>
    <rPh sb="10" eb="12">
      <t>ツウシン</t>
    </rPh>
    <phoneticPr fontId="3"/>
  </si>
  <si>
    <t>V6: プラットフォーム連携</t>
    <rPh sb="12" eb="14">
      <t>レンケイ</t>
    </rPh>
    <phoneticPr fontId="3"/>
  </si>
  <si>
    <t>V7: コード品質とビルド設定</t>
    <rPh sb="7" eb="9">
      <t>ヒンシツ</t>
    </rPh>
    <rPh sb="13" eb="15">
      <t>セッテイ</t>
    </rPh>
    <phoneticPr fontId="3"/>
  </si>
  <si>
    <t>V8: リバースエンジニアリングに対する耐性</t>
    <rPh sb="17" eb="18">
      <t>タイ</t>
    </rPh>
    <rPh sb="20" eb="22">
      <t>タイセイ</t>
    </rPh>
    <phoneticPr fontId="3"/>
  </si>
  <si>
    <t>Koki Takeyama</t>
    <phoneticPr fontId="12"/>
  </si>
  <si>
    <t>1.1</t>
    <phoneticPr fontId="12"/>
  </si>
  <si>
    <t>1.0</t>
    <phoneticPr fontId="12"/>
  </si>
  <si>
    <t>モバイルアプリケーションセキュリティ要件 - Android</t>
    <rPh sb="18" eb="20">
      <t>ヨウケン</t>
    </rPh>
    <phoneticPr fontId="12"/>
  </si>
  <si>
    <t>検証要件の内容</t>
    <rPh sb="0" eb="2">
      <t>ケンショウ</t>
    </rPh>
    <rPh sb="2" eb="4">
      <t>ヨウケン</t>
    </rPh>
    <rPh sb="5" eb="7">
      <t>ナイヨウ</t>
    </rPh>
    <phoneticPr fontId="3"/>
  </si>
  <si>
    <t>レベル1</t>
  </si>
  <si>
    <t>レベル2</t>
  </si>
  <si>
    <t>結果</t>
    <rPh sb="0" eb="2">
      <t>ケッカ</t>
    </rPh>
    <phoneticPr fontId="3"/>
  </si>
  <si>
    <t>テスト手順</t>
    <rPh sb="3" eb="5">
      <t>テジュン</t>
    </rPh>
    <phoneticPr fontId="12"/>
  </si>
  <si>
    <t>備考</t>
    <rPh sb="0" eb="2">
      <t>ビコウ</t>
    </rPh>
    <phoneticPr fontId="12"/>
  </si>
  <si>
    <t>アーキテクチャ、設計、脅威モデリング</t>
    <rPh sb="8" eb="10">
      <t>セッケイ</t>
    </rPh>
    <rPh sb="11" eb="13">
      <t>キョウイ</t>
    </rPh>
    <phoneticPr fontId="3"/>
  </si>
  <si>
    <t>アプリのすべてのコンポーネントを把握し、それらが必要とされていることを検証する。</t>
    <rPh sb="35" eb="37">
      <t>ケンショウ</t>
    </rPh>
    <phoneticPr fontId="3"/>
  </si>
  <si>
    <t>セキュリティコントロールはクライアント側だけではなくそれぞれのリモートエンドポイントで実施されていることを検証する。</t>
    <rPh sb="53" eb="55">
      <t>ケンショウ</t>
    </rPh>
    <phoneticPr fontId="3"/>
  </si>
  <si>
    <t>モバイルアプリと接続されるすべてのリモートサービスの高次のアーキテクチャが定義され、そのアーキテクチャにセキュリティが対応されていることを検証する。</t>
    <rPh sb="69" eb="71">
      <t>ケンショウ</t>
    </rPh>
    <phoneticPr fontId="3"/>
  </si>
  <si>
    <t>モバイルアプリのコンテキストで機密とみなされるデータが明確に特定されていることを検証する。</t>
    <rPh sb="40" eb="42">
      <t>ケンショウ</t>
    </rPh>
    <phoneticPr fontId="3"/>
  </si>
  <si>
    <t>アプリのすべてのコンポーネントは提供する業務上の機能やセキュリティ上の機能の観点で定義されていることを検証する。</t>
    <rPh sb="51" eb="53">
      <t>ケンショウ</t>
    </rPh>
    <phoneticPr fontId="3"/>
  </si>
  <si>
    <t>モバイルアプリとそれに関連するリモートサービスの脅威モデルが作られ、潜在的な脅威と対策を特定していることを検証する。</t>
    <rPh sb="53" eb="55">
      <t>ケンショウ</t>
    </rPh>
    <phoneticPr fontId="3"/>
  </si>
  <si>
    <t>すべてのセキュリティコントロールは集約実装されていることを検証する。</t>
    <rPh sb="29" eb="31">
      <t>ケンショウ</t>
    </rPh>
    <phoneticPr fontId="3"/>
  </si>
  <si>
    <t xml:space="preserve">暗号鍵が（もしあれば）どのように管理されるかについての明確な方針があり、暗号鍵のライフサイクルが施行されていることを検証する。 NIST SP 800-57 などの鍵管理標準に準拠することが理想的である。 </t>
    <rPh sb="58" eb="60">
      <t>ケンショウ</t>
    </rPh>
    <phoneticPr fontId="3"/>
  </si>
  <si>
    <t>モバイルアプリの更新を強制するメカニズムが存在していることを検証する。</t>
    <rPh sb="30" eb="32">
      <t>ケンショウ</t>
    </rPh>
    <phoneticPr fontId="3"/>
  </si>
  <si>
    <t>セキュリティはソフトウェア開発ライフサイクルのあらゆる部分で対処されていることを検証する。</t>
    <rPh sb="40" eb="42">
      <t>ケンショウ</t>
    </rPh>
    <phoneticPr fontId="3"/>
  </si>
  <si>
    <t>データストレージとプライバシー</t>
  </si>
  <si>
    <t>個人識別情報、ユーザー資格情報、暗号化鍵などの機密データを格納するために、システムの資格情報保存機能が適切に使用されていることを検証する。</t>
    <rPh sb="64" eb="66">
      <t>ケンショウ</t>
    </rPh>
    <phoneticPr fontId="3"/>
  </si>
  <si>
    <t>機密データはアプリコンテナまたはシステムの資格情報保存機能の外部に保存されていないことを検証する。</t>
    <rPh sb="44" eb="46">
      <t>ケンショウ</t>
    </rPh>
    <phoneticPr fontId="3"/>
  </si>
  <si>
    <t>機密データはアプリケーションログに書き込まれていないことを検証する。</t>
    <rPh sb="29" eb="31">
      <t>ケンショウ</t>
    </rPh>
    <phoneticPr fontId="3"/>
  </si>
  <si>
    <t>機密データはアーキテクチャに必要な部分でない限りサードパーティと共有されていないことを検証する。</t>
    <rPh sb="43" eb="45">
      <t>ケンショウ</t>
    </rPh>
    <phoneticPr fontId="3"/>
  </si>
  <si>
    <t>機密データを処理するテキスト入力では、キーボードキャッシュが無効にされていることを検証する。</t>
    <rPh sb="41" eb="43">
      <t>ケンショウ</t>
    </rPh>
    <phoneticPr fontId="3"/>
  </si>
  <si>
    <t>機密データはIPCメカニズムを介して公開されていないことを検証する。</t>
    <rPh sb="29" eb="31">
      <t>ケンショウ</t>
    </rPh>
    <phoneticPr fontId="3"/>
  </si>
  <si>
    <t>パスワードやピンなどの機密データは、ユーザーインタフェースを介して公開されていないことを検証する。</t>
    <rPh sb="44" eb="46">
      <t>ケンショウ</t>
    </rPh>
    <phoneticPr fontId="3"/>
  </si>
  <si>
    <t>機密データはモバイルオペレーティングシステムにより生成されるバックアップに含まれていないことを検証する。</t>
    <rPh sb="47" eb="49">
      <t>ケンショウ</t>
    </rPh>
    <phoneticPr fontId="3"/>
  </si>
  <si>
    <t>バックグラウンド時にアプリはビューから機密データを削除していることを検証する。</t>
    <rPh sb="34" eb="36">
      <t>ケンショウ</t>
    </rPh>
    <phoneticPr fontId="3"/>
  </si>
  <si>
    <t>アプリは必要以上に長くメモリ内に機密データを保持せず、使用後は明示的にメモリがクリアされていることを検証する。</t>
    <rPh sb="50" eb="52">
      <t>ケンショウ</t>
    </rPh>
    <phoneticPr fontId="3"/>
  </si>
  <si>
    <t>アプリは最低限のデバイスアクセスセキュリティポリシーを適用しており、ユーザーにデバイスパスコードを設定することなどを必要としていることを検証する。</t>
    <rPh sb="68" eb="70">
      <t>ケンショウ</t>
    </rPh>
    <phoneticPr fontId="3"/>
  </si>
  <si>
    <t>アプリは処理される個人識別情報の種類をユーザーに通知しており、同様にユーザーがアプリを使用する際に従うべきセキュリティのベストプラクティスについて通知していることを検証する。</t>
    <rPh sb="82" eb="84">
      <t>ケンショウ</t>
    </rPh>
    <phoneticPr fontId="3"/>
  </si>
  <si>
    <t>1.1.0</t>
    <phoneticPr fontId="12"/>
  </si>
  <si>
    <t>暗号化</t>
    <rPh sb="0" eb="3">
      <t>アンゴウカ</t>
    </rPh>
    <phoneticPr fontId="3"/>
  </si>
  <si>
    <t>アプリは暗号化の唯一の方法としてハードコードされた鍵による対称暗号化に依存していないことを検証する。</t>
    <rPh sb="45" eb="47">
      <t>ケンショウ</t>
    </rPh>
    <phoneticPr fontId="3"/>
  </si>
  <si>
    <t>アプリは実績のある暗号化プリミティブの実装を使用していることを検証する。</t>
    <rPh sb="31" eb="33">
      <t>ケンショウ</t>
    </rPh>
    <phoneticPr fontId="3"/>
  </si>
  <si>
    <t>アプリは特定のユースケースに適した暗号化プリミティブを使用している。業界のベストプラクティスに基づくパラメータで構成されていることを検証する。</t>
    <rPh sb="66" eb="68">
      <t>ケンショウ</t>
    </rPh>
    <phoneticPr fontId="3"/>
  </si>
  <si>
    <t>アプリはセキュリティ上の目的で広く非推奨と考えられる暗号プロトコルやアルゴリズムを使用していないことを検証する。</t>
    <rPh sb="51" eb="53">
      <t>ケンショウ</t>
    </rPh>
    <phoneticPr fontId="3"/>
  </si>
  <si>
    <t>アプリは複数の目的のために同じ暗号化鍵を再利用していないことを検証する。</t>
    <rPh sb="31" eb="33">
      <t>ケンショウ</t>
    </rPh>
    <phoneticPr fontId="3"/>
  </si>
  <si>
    <t>すべての乱数値は十分にセキュアな乱数生成器を用いて生成されていることを検証する。</t>
    <rPh sb="35" eb="37">
      <t>ケンショウ</t>
    </rPh>
    <phoneticPr fontId="3"/>
  </si>
  <si>
    <t>認証とセッション管理</t>
    <rPh sb="0" eb="2">
      <t>ニンショウ</t>
    </rPh>
    <rPh sb="8" eb="10">
      <t>カンリ</t>
    </rPh>
    <phoneticPr fontId="3"/>
  </si>
  <si>
    <t>アプリがユーザーにリモートサービスへのアクセスを提供する場合、ユーザー名/パスワード認証など何らかの形態の認証がリモートエンドポイントで実行されていることを検証する。</t>
    <rPh sb="78" eb="80">
      <t>ケンショウ</t>
    </rPh>
    <phoneticPr fontId="3"/>
  </si>
  <si>
    <t>ステートフルなセッション管理を使用する場合、リモートエンドポイントはランダムに生成されたセッション識別子を使用し、ユーザーの資格情報を送信せずにクライアントリクエストを認証していることを検証する。</t>
    <rPh sb="93" eb="95">
      <t>ケンショウ</t>
    </rPh>
    <phoneticPr fontId="3"/>
  </si>
  <si>
    <t>ステートレスなトークンベースの認証を使用する場合、サーバーはセキュアなアルゴリズムを使用して署名されたトークンを提供していることを検証する。</t>
    <rPh sb="65" eb="67">
      <t>ケンショウ</t>
    </rPh>
    <phoneticPr fontId="3"/>
  </si>
  <si>
    <t>ユーザーがログアウトする際に、リモートエンドポイントは既存のセッションを終了していることを検証する。</t>
    <rPh sb="45" eb="47">
      <t>ケンショウ</t>
    </rPh>
    <phoneticPr fontId="3"/>
  </si>
  <si>
    <t>パスワードポリシーが存在し、リモートエンドポイントで実施されていることを検証する。</t>
    <rPh sb="36" eb="38">
      <t>ケンショウ</t>
    </rPh>
    <phoneticPr fontId="3"/>
  </si>
  <si>
    <t>リモートエンドポイントは過度な資格情報の送信に対する保護を実装していることを検証する。</t>
    <rPh sb="38" eb="40">
      <t>ケンショウ</t>
    </rPh>
    <phoneticPr fontId="3"/>
  </si>
  <si>
    <t>事前に定義された非アクティブ期間およびアクセストークンの有効期限が切れた後に、セッションはリモートエンドポイントで無効にしていることを検証する。</t>
    <rPh sb="67" eb="69">
      <t>ケンショウ</t>
    </rPh>
    <phoneticPr fontId="3"/>
  </si>
  <si>
    <t>生体認証が使用される場合は（単に「true」や「false」を返すAPIを使うなどの）イベントバインディングは使用しない。代わりに、キーチェーンやキーストアのアンロックに基づいていることを検証する。</t>
    <rPh sb="94" eb="96">
      <t>ケンショウ</t>
    </rPh>
    <phoneticPr fontId="3"/>
  </si>
  <si>
    <t>リモートエンドポイントに二要素認証が存在し、リモートエンドポイントで二要素認証要件が一貫して適用されていることを検証する。</t>
    <rPh sb="56" eb="58">
      <t>ケンショウ</t>
    </rPh>
    <phoneticPr fontId="3"/>
  </si>
  <si>
    <t xml:space="preserve"> 機密トランザクションはステップアップ認証を必要としていることを検証する。</t>
    <rPh sb="32" eb="34">
      <t>ケンショウ</t>
    </rPh>
    <phoneticPr fontId="3"/>
  </si>
  <si>
    <t>アプリはユーザーのアカウントでのすべてのログインアクティビティをユーザーに通知している。ユーザーはアカウントへのアクセスに使用されるデバイスの一覧を表示し、特定のデバイスをブロックすることができることを検証する。</t>
    <rPh sb="101" eb="103">
      <t>ケンショウ</t>
    </rPh>
    <phoneticPr fontId="3"/>
  </si>
  <si>
    <t>機密トランザクションはステップアップ認証を必要としていることを検証する。</t>
    <rPh sb="31" eb="33">
      <t>ケンショウ</t>
    </rPh>
    <phoneticPr fontId="3"/>
  </si>
  <si>
    <t>ネットワーク通信</t>
    <rPh sb="6" eb="8">
      <t>ツウシン</t>
    </rPh>
    <phoneticPr fontId="3"/>
  </si>
  <si>
    <t>データはネットワーク上でTLSを使用して暗号化されている。セキュアチャネルがアプリ全体を通して一貫して使用されていることを検証する。</t>
    <rPh sb="61" eb="63">
      <t>ケンショウ</t>
    </rPh>
    <phoneticPr fontId="3"/>
  </si>
  <si>
    <t>TLS 設定は現在のベストプラクティスと一致している。モバイルオペレーティングシステムが推奨される標準規格をサポートしていない場合には可能な限り近い状態であることを検証する。</t>
    <rPh sb="82" eb="84">
      <t>ケンショウ</t>
    </rPh>
    <phoneticPr fontId="3"/>
  </si>
  <si>
    <t>セキュアチャネルが確立されたときに、アプリはリモートエンドポイントのX.509証明書を検証している。信頼されたCAにより署名された証明書のみが受け入れられていることを検証する。</t>
    <rPh sb="83" eb="85">
      <t>ケンショウ</t>
    </rPh>
    <phoneticPr fontId="3"/>
  </si>
  <si>
    <t>アプリは自身の証明書ストアを使用するか、エンドポイント証明書もしくは公開鍵をピンニングしている。信頼されたCAにより署名された場合でも、別の証明書や鍵を提供するエンドポイントとの接続を確立していないことを検証する。</t>
    <rPh sb="102" eb="104">
      <t>ケンショウ</t>
    </rPh>
    <phoneticPr fontId="3"/>
  </si>
  <si>
    <t>アプリは登録やアカウントリカバリーなどの重要な操作において（電子メールやSMSなどの）単方向のセキュアでない通信チャネルに依存していないことを検証する。</t>
    <rPh sb="71" eb="73">
      <t>ケンショウ</t>
    </rPh>
    <phoneticPr fontId="3"/>
  </si>
  <si>
    <t>アプリは最新の接続ライブラリとセキュリティライブラリにのみ依存していることを検証する。</t>
    <rPh sb="38" eb="40">
      <t>ケンショウ</t>
    </rPh>
    <phoneticPr fontId="3"/>
  </si>
  <si>
    <t>プラットフォーム連携</t>
    <rPh sb="8" eb="10">
      <t>レンケイ</t>
    </rPh>
    <phoneticPr fontId="3"/>
  </si>
  <si>
    <t>アプリは必要となる最低限のパーミッションのみを要求していることを検証する。</t>
    <rPh sb="32" eb="34">
      <t>ケンショウ</t>
    </rPh>
    <phoneticPr fontId="3"/>
  </si>
  <si>
    <t>外部ソースおよびユーザーからの入力はすべて検証されており、必要に応じてサニタイズされていることを検証する。これにはUI、インテントやカスタムURLなどのIPCメカニズム、ネットワークソースを介して受信したデータを含んでいる。</t>
    <rPh sb="48" eb="50">
      <t>ケンショウ</t>
    </rPh>
    <phoneticPr fontId="3"/>
  </si>
  <si>
    <t>アプリはメカニズムが適切に保護されていない限り、カスタムURLスキームを介して機密な機能をエクスポートしていないことを検証する。</t>
    <rPh sb="59" eb="61">
      <t>ケンショウ</t>
    </rPh>
    <phoneticPr fontId="3"/>
  </si>
  <si>
    <t>アプリはメカニズムが適切に保護されていない限り、IPC機構を通じて機密な機能をエクスポートしていないことを検証する。</t>
    <rPh sb="53" eb="55">
      <t>ケンショウ</t>
    </rPh>
    <phoneticPr fontId="3"/>
  </si>
  <si>
    <t>明示的に必要でない限りWebViewでJavaScriptが無効化されていることを検証する。</t>
    <rPh sb="41" eb="43">
      <t>ケンショウ</t>
    </rPh>
    <phoneticPr fontId="3"/>
  </si>
  <si>
    <t>WebViewは最低限必要のプロトコルハンドラのセットのみを許可するよう構成されている（理想的には、httpsのみがサポートされている）。file, tel, app-id などの潜在的に危険なハンドラは無効化されていることを検証する。</t>
    <rPh sb="113" eb="115">
      <t>ケンショウ</t>
    </rPh>
    <phoneticPr fontId="3"/>
  </si>
  <si>
    <t>アプリのネイティブメソッドがWebViewに公開されている場合、WebViewはアプリパッケージ内に含まれるJavaScriptのみをレンダリングしていることを検証する。</t>
    <rPh sb="80" eb="82">
      <t>ケンショウ</t>
    </rPh>
    <phoneticPr fontId="3"/>
  </si>
  <si>
    <t>オブジェクトのデシリアライゼーションは、もしあれば、安全なシリアライゼーションAPIを使用して実装されていることを検証する。</t>
    <rPh sb="57" eb="59">
      <t>ケンショウ</t>
    </rPh>
    <phoneticPr fontId="3"/>
  </si>
  <si>
    <t>コード品質とビルド設定</t>
    <rPh sb="3" eb="5">
      <t>ヒンシツ</t>
    </rPh>
    <rPh sb="9" eb="11">
      <t>セッテイ</t>
    </rPh>
    <phoneticPr fontId="3"/>
  </si>
  <si>
    <t>アプリは有効な証明書で署名およびプロビジョニングされている。その秘密鍵は適切に保護されていることを検証する。</t>
    <rPh sb="49" eb="51">
      <t>ケンショウ</t>
    </rPh>
    <phoneticPr fontId="3"/>
  </si>
  <si>
    <t>アプリはリリースモードでビルドされている。リリースビルドに適した設定である（デバッグ不可など）ことを検証する。</t>
    <rPh sb="50" eb="52">
      <t>ケンショウ</t>
    </rPh>
    <phoneticPr fontId="3"/>
  </si>
  <si>
    <t>デバッグシンボルはネイティブバイナリから削除されていることを検証する。</t>
    <rPh sb="30" eb="32">
      <t>ケンショウ</t>
    </rPh>
    <phoneticPr fontId="3"/>
  </si>
  <si>
    <t>デバッグコードは削除されており、アプリは詳細なエラーやデバッグメッセージをログ出力していないことを検証する。</t>
    <rPh sb="49" eb="51">
      <t>ケンショウ</t>
    </rPh>
    <phoneticPr fontId="3"/>
  </si>
  <si>
    <t>モバイルアプリで使用されるライブラリ、フレームワークなどのすべてのサードパーティコンポーネントを把握し、既知の脆弱性を確認していることを検証する。</t>
    <rPh sb="68" eb="70">
      <t>ケンショウ</t>
    </rPh>
    <phoneticPr fontId="3"/>
  </si>
  <si>
    <t>アプリは可能性のある例外をキャッチし処理していることを検証する。</t>
    <rPh sb="27" eb="29">
      <t>ケンショウ</t>
    </rPh>
    <phoneticPr fontId="3"/>
  </si>
  <si>
    <t>セキュリティコントロールのエラー処理ロジックはデフォルトでアクセスを拒否していることを検証する。</t>
    <rPh sb="43" eb="45">
      <t>ケンショウ</t>
    </rPh>
    <phoneticPr fontId="3"/>
  </si>
  <si>
    <t>アンマネージドコードでは、メモリはセキュアに割り当て、解放、使用されていることを検証する。</t>
    <rPh sb="40" eb="42">
      <t>ケンショウ</t>
    </rPh>
    <phoneticPr fontId="3"/>
  </si>
  <si>
    <t>バイトコードの軽量化、スタック保護、PIEサポート、自動参照カウントなどツールチェーンにより提供されるフリーのセキュリティ機能が有効化されていることを検証する。</t>
    <rPh sb="75" eb="77">
      <t>ケンショウ</t>
    </rPh>
    <phoneticPr fontId="3"/>
  </si>
  <si>
    <t>リバースエンジニアリングに対する耐性 - Android</t>
    <rPh sb="13" eb="14">
      <t>タイ</t>
    </rPh>
    <rPh sb="16" eb="18">
      <t>タイセイ</t>
    </rPh>
    <phoneticPr fontId="12"/>
  </si>
  <si>
    <t>リバースエンジニアリングに対する耐性の要件</t>
    <rPh sb="13" eb="14">
      <t>タイ</t>
    </rPh>
    <rPh sb="16" eb="18">
      <t>タイセイ</t>
    </rPh>
    <rPh sb="19" eb="21">
      <t>ヨウケン</t>
    </rPh>
    <phoneticPr fontId="3"/>
  </si>
  <si>
    <t>テスト手順</t>
    <rPh sb="3" eb="5">
      <t>テジュン</t>
    </rPh>
    <phoneticPr fontId="3"/>
  </si>
  <si>
    <t>動的解析と改竄の阻止</t>
    <rPh sb="0" eb="2">
      <t>ドウテキ</t>
    </rPh>
    <rPh sb="2" eb="4">
      <t>カイセキ</t>
    </rPh>
    <rPh sb="5" eb="7">
      <t>カイザン</t>
    </rPh>
    <rPh sb="8" eb="10">
      <t>ソシ</t>
    </rPh>
    <phoneticPr fontId="3"/>
  </si>
  <si>
    <t>アプリはユーザーに警告するかアプリを終了することでルート化デバイスや脱獄済みデバイスの存在を検知し応答していることを検証する。</t>
    <rPh sb="58" eb="60">
      <t>ケンショウ</t>
    </rPh>
    <phoneticPr fontId="3"/>
  </si>
  <si>
    <t>アプリはデバッグを防止し、デバッガのアタッチを検知し応答していることを検証する。利用可能なすべてのデバッグプロトコルを網羅している必要がある。</t>
    <rPh sb="35" eb="37">
      <t>ケンショウ</t>
    </rPh>
    <phoneticPr fontId="3"/>
  </si>
  <si>
    <t>アプリはそれ自身のサンドボックス内の実行ファイルや重要なデータの改竄を検知し応答している検証することを検証する。</t>
    <rPh sb="44" eb="46">
      <t>ケンショウ</t>
    </rPh>
    <rPh sb="51" eb="53">
      <t>ケンショウ</t>
    </rPh>
    <phoneticPr fontId="3"/>
  </si>
  <si>
    <t>アプリはそのデバイスで広く使用されるリバースエンジニアリングツールやフレームワークの存在を検知し応答していることを検証する。</t>
    <rPh sb="57" eb="59">
      <t>ケンショウ</t>
    </rPh>
    <phoneticPr fontId="3"/>
  </si>
  <si>
    <t>アプリは任意の方法を使用してエミュレータ内で動作しているかどうかを検知し応答していることを検証する。</t>
    <rPh sb="45" eb="47">
      <t>ケンショウ</t>
    </rPh>
    <phoneticPr fontId="3"/>
  </si>
  <si>
    <t>アプリはそれ自身のメモリ空間内のコードとデータの改竄を検知し応答していることを検証する。</t>
    <rPh sb="39" eb="41">
      <t>ケンショウ</t>
    </rPh>
    <phoneticPr fontId="3"/>
  </si>
  <si>
    <t>アプリは各防御カテゴリ(8.1から8.6)で複数のメカニズムを実装していることを検証する。耐性は使用されるメカニズムのオリジナリティの量、多様性と比例することに注意する。</t>
    <rPh sb="40" eb="42">
      <t>ケンショウ</t>
    </rPh>
    <phoneticPr fontId="3"/>
  </si>
  <si>
    <t>検知メカニズムは遅延応答やステルス応答を含むさまざまな種類の応答をトリガーしていることを検証する。</t>
    <rPh sb="44" eb="46">
      <t>ケンショウ</t>
    </rPh>
    <phoneticPr fontId="3"/>
  </si>
  <si>
    <t>難読化はプログラムの防御に適用されており、動的解析による逆難読化を妨げていることを検証する。</t>
    <rPh sb="41" eb="43">
      <t>ケンショウ</t>
    </rPh>
    <phoneticPr fontId="3"/>
  </si>
  <si>
    <t>デバイスバインディング</t>
  </si>
  <si>
    <t>アプリはデバイスに固有の複数のプロパティから由来するデバイスフィンガープリントを使用して「デバイスバインディング」機能を実装していることを検証する。</t>
    <rPh sb="69" eb="71">
      <t>ケンショウ</t>
    </rPh>
    <phoneticPr fontId="3"/>
  </si>
  <si>
    <t>理解の阻止</t>
    <rPh sb="0" eb="2">
      <t>リカイ</t>
    </rPh>
    <rPh sb="3" eb="5">
      <t>ソシ</t>
    </rPh>
    <phoneticPr fontId="3"/>
  </si>
  <si>
    <t>アプリに属するすべての実行可能ファイルとライブラリはファイルレベルで暗号化されているか、実行可能ファイル内の重要なコードやデータセグメントが暗号化またはパック化されている。簡単な静的解析では重要なコードやデータは明らかにならないことを検証する。</t>
    <rPh sb="117" eb="119">
      <t>ケンショウ</t>
    </rPh>
    <phoneticPr fontId="3"/>
  </si>
  <si>
    <t>難読化の目的が機密性の高い計算を保護することである場合、現在公開されている研究を考慮して、特定のタスクに適しており手動および自動の逆難読化メソッドに対して堅牢な難読化スキームを使用していることを検証する。難読化スキームの有効性は手動テストにより検証する必要がある。可能であればハードウェアベースの隔離機能が難読化より優先されることに注意する。</t>
    <rPh sb="97" eb="99">
      <t>ケンショウ</t>
    </rPh>
    <phoneticPr fontId="3"/>
  </si>
  <si>
    <t>記録内容</t>
    <rPh sb="0" eb="2">
      <t>キロク</t>
    </rPh>
    <rPh sb="2" eb="4">
      <t>ナイヨウ</t>
    </rPh>
    <phoneticPr fontId="3"/>
  </si>
  <si>
    <t>シンボル</t>
  </si>
  <si>
    <t>説明</t>
    <rPh sb="0" eb="2">
      <t>セツメイ</t>
    </rPh>
    <phoneticPr fontId="3"/>
  </si>
  <si>
    <t>要件はモバイルアプリに適用可能でありベストプラクティスに沿って実装されています。</t>
    <rPh sb="0" eb="2">
      <t>ヨウケン</t>
    </rPh>
    <rPh sb="11" eb="13">
      <t>テキヨウ</t>
    </rPh>
    <rPh sb="13" eb="15">
      <t>カノウ</t>
    </rPh>
    <rPh sb="28" eb="29">
      <t>ソ</t>
    </rPh>
    <rPh sb="31" eb="33">
      <t>ジッソウ</t>
    </rPh>
    <phoneticPr fontId="3"/>
  </si>
  <si>
    <t>要件はモバイルアプリに適用可能ですが充足していません。</t>
    <rPh sb="0" eb="2">
      <t>ヨウケン</t>
    </rPh>
    <rPh sb="11" eb="13">
      <t>テキヨウ</t>
    </rPh>
    <rPh sb="13" eb="15">
      <t>カノウ</t>
    </rPh>
    <rPh sb="18" eb="20">
      <t>ジュウソク</t>
    </rPh>
    <phoneticPr fontId="3"/>
  </si>
  <si>
    <t>要件はモバイルアプリに適用可能ではありません。</t>
    <rPh sb="0" eb="2">
      <t>ヨウケン</t>
    </rPh>
    <rPh sb="11" eb="13">
      <t>テキヨウ</t>
    </rPh>
    <rPh sb="13" eb="15">
      <t>カノウ</t>
    </rPh>
    <phoneticPr fontId="3"/>
  </si>
  <si>
    <t>モバイルアプリケーションセキュリティ要件 - iOS</t>
    <rPh sb="18" eb="20">
      <t>ヨウケン</t>
    </rPh>
    <phoneticPr fontId="12"/>
  </si>
  <si>
    <t>リバースエンジニアリングに対する耐性 - iOS</t>
    <rPh sb="13" eb="14">
      <t>タイ</t>
    </rPh>
    <rPh sb="16" eb="18">
      <t>タイセイ</t>
    </rPh>
    <phoneticPr fontId="12"/>
  </si>
  <si>
    <t>備考</t>
    <rPh sb="0" eb="2">
      <t>ビコウ</t>
    </rPh>
    <phoneticPr fontId="3"/>
  </si>
  <si>
    <t>XLS Version History (Japanese Translation)</t>
    <phoneticPr fontId="12"/>
  </si>
  <si>
    <t>translate ver. 1.1 into Japanese</t>
    <phoneticPr fontId="12"/>
  </si>
  <si>
    <t>translate ver. 1.1.0.7 into Japanese</t>
    <phoneticPr fontId="12"/>
  </si>
  <si>
    <t>1.1.1.1</t>
  </si>
  <si>
    <t>1.1.4</t>
  </si>
  <si>
    <r>
      <rPr>
        <b/>
        <sz val="12"/>
        <color theme="1"/>
        <rFont val="メイリオ"/>
        <family val="2"/>
        <scheme val="minor"/>
      </rPr>
      <t>Updating the links based on OSS19 restructured chapters:</t>
    </r>
    <r>
      <rPr>
        <sz val="12"/>
        <color theme="1"/>
        <rFont val="メイリオ"/>
        <family val="2"/>
        <scheme val="minor"/>
      </rPr>
      <t xml:space="preserve">
android 
3.2|3.4|4.9|4.10|5.2|5.4|7.7
IOS
3.2|4.5|4.10|4.11|5.1|5.3|6.4|7.8
</t>
    </r>
  </si>
  <si>
    <t>1.1.1.2</t>
  </si>
  <si>
    <t>Correcting the Link to the MSTG repo and adding a link to the MASVS repo</t>
  </si>
  <si>
    <t>オンライン版MASVS</t>
    <rPh sb="5" eb="6">
      <t>バン</t>
    </rPh>
    <phoneticPr fontId="12"/>
  </si>
  <si>
    <t>MSTG バージョン</t>
    <phoneticPr fontId="12"/>
  </si>
  <si>
    <t>1.1.4</t>
    <phoneticPr fontId="12"/>
  </si>
  <si>
    <t>1.1.2</t>
    <phoneticPr fontId="12"/>
  </si>
  <si>
    <t>1.1.4</t>
    <phoneticPr fontId="12"/>
  </si>
  <si>
    <t>translate ver. 1.1.1.2 into Japanese</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</si>
</sst>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9999]###\-####;\(###\)\ ###\-####"/>
  </numFmts>
  <fonts count="36" x14ac:knownFonts="1">
    <font>
      <sz val="12"/>
      <color theme="1"/>
      <name val="メイリオ"/>
      <family val="2"/>
      <scheme val="minor"/>
    </font>
    <font>
      <u/>
      <sz val="12"/>
      <color theme="10"/>
      <name val="メイリオ"/>
      <family val="2"/>
      <scheme val="minor"/>
    </font>
    <font>
      <u/>
      <sz val="12"/>
      <color theme="11"/>
      <name val="メイリオ"/>
      <family val="2"/>
      <scheme val="minor"/>
    </font>
    <font>
      <b/>
      <sz val="10"/>
      <name val="Trebuchet MS"/>
      <family val="2"/>
    </font>
    <font>
      <sz val="12"/>
      <color theme="1"/>
      <name val="Calibri"/>
    </font>
    <font>
      <b/>
      <sz val="12"/>
      <color theme="1"/>
      <name val="Calibri"/>
    </font>
    <font>
      <b/>
      <sz val="12"/>
      <color theme="1"/>
      <name val="メイリオ"/>
      <family val="2"/>
      <scheme val="minor"/>
    </font>
    <font>
      <b/>
      <sz val="12"/>
      <color rgb="FF000000"/>
      <name val="Calibri"/>
    </font>
    <font>
      <sz val="12"/>
      <color theme="1"/>
      <name val="メイリオ"/>
      <family val="2"/>
      <scheme val="minor"/>
    </font>
    <font>
      <b/>
      <sz val="12"/>
      <color theme="1"/>
      <name val="Calibri"/>
      <family val="2"/>
    </font>
    <font>
      <sz val="12"/>
      <color theme="1"/>
      <name val="Calibri"/>
      <family val="2"/>
    </font>
    <font>
      <sz val="12"/>
      <name val="Calibri"/>
      <family val="2"/>
    </font>
    <font>
      <sz val="6"/>
      <name val="メイリオ"/>
      <family val="3"/>
      <charset val="128"/>
      <scheme val="minor"/>
    </font>
    <font>
      <sz val="12"/>
      <color theme="1"/>
      <name val="メイリオ"/>
      <family val="3"/>
      <charset val="128"/>
      <scheme val="minor"/>
    </font>
    <font>
      <b/>
      <sz val="14"/>
      <name val="メイリオ"/>
      <family val="3"/>
      <charset val="128"/>
      <scheme val="minor"/>
    </font>
    <font>
      <sz val="14"/>
      <name val="メイリオ"/>
      <family val="3"/>
      <charset val="128"/>
      <scheme val="minor"/>
    </font>
    <font>
      <b/>
      <sz val="10"/>
      <name val="メイリオ"/>
      <family val="3"/>
      <charset val="128"/>
      <scheme val="minor"/>
    </font>
    <font>
      <sz val="10"/>
      <name val="メイリオ"/>
      <family val="3"/>
      <charset val="128"/>
      <scheme val="minor"/>
    </font>
    <font>
      <u/>
      <sz val="12"/>
      <color theme="10"/>
      <name val="メイリオ"/>
      <family val="3"/>
      <charset val="128"/>
      <scheme val="minor"/>
    </font>
    <font>
      <sz val="10"/>
      <color theme="1"/>
      <name val="メイリオ"/>
      <family val="3"/>
      <charset val="128"/>
      <scheme val="minor"/>
    </font>
    <font>
      <sz val="11"/>
      <color theme="1"/>
      <name val="メイリオ"/>
      <family val="3"/>
      <charset val="128"/>
      <scheme val="minor"/>
    </font>
    <font>
      <b/>
      <sz val="10"/>
      <color theme="1"/>
      <name val="メイリオ"/>
      <family val="3"/>
      <charset val="128"/>
      <scheme val="minor"/>
    </font>
    <font>
      <b/>
      <sz val="10"/>
      <color rgb="FFFFFFFF"/>
      <name val="メイリオ"/>
      <family val="3"/>
      <charset val="128"/>
      <scheme val="minor"/>
    </font>
    <font>
      <sz val="72"/>
      <color theme="1"/>
      <name val="メイリオ"/>
      <family val="3"/>
      <charset val="128"/>
      <scheme val="minor"/>
    </font>
    <font>
      <u/>
      <sz val="11"/>
      <color theme="0"/>
      <name val="メイリオ"/>
      <family val="3"/>
      <charset val="128"/>
      <scheme val="minor"/>
    </font>
    <font>
      <b/>
      <sz val="14"/>
      <color theme="1"/>
      <name val="メイリオ"/>
      <family val="3"/>
      <charset val="128"/>
      <scheme val="minor"/>
    </font>
    <font>
      <b/>
      <sz val="11"/>
      <color rgb="FFFFFFFF"/>
      <name val="メイリオ"/>
      <family val="3"/>
      <charset val="128"/>
      <scheme val="minor"/>
    </font>
    <font>
      <b/>
      <sz val="11"/>
      <color rgb="FF000000"/>
      <name val="メイリオ"/>
      <family val="3"/>
      <charset val="128"/>
      <scheme val="minor"/>
    </font>
    <font>
      <sz val="11"/>
      <name val="メイリオ"/>
      <family val="3"/>
      <charset val="128"/>
      <scheme val="minor"/>
    </font>
    <font>
      <b/>
      <sz val="11"/>
      <name val="メイリオ"/>
      <family val="3"/>
      <charset val="128"/>
      <scheme val="minor"/>
    </font>
    <font>
      <b/>
      <i/>
      <u/>
      <sz val="11"/>
      <name val="メイリオ"/>
      <family val="3"/>
      <charset val="128"/>
      <scheme val="minor"/>
    </font>
    <font>
      <u/>
      <sz val="11"/>
      <color theme="10"/>
      <name val="メイリオ"/>
      <family val="3"/>
      <charset val="128"/>
      <scheme val="minor"/>
    </font>
    <font>
      <sz val="12"/>
      <color rgb="FFFF0000"/>
      <name val="メイリオ"/>
      <family val="3"/>
      <charset val="128"/>
      <scheme val="minor"/>
    </font>
    <font>
      <b/>
      <sz val="11"/>
      <color theme="1"/>
      <name val="メイリオ"/>
      <family val="3"/>
      <charset val="128"/>
      <scheme val="minor"/>
    </font>
    <font>
      <b/>
      <sz val="12"/>
      <color rgb="FF000000"/>
      <name val="メイリオ"/>
      <family val="3"/>
      <charset val="128"/>
      <scheme val="minor"/>
    </font>
    <font>
      <b/>
      <sz val="12"/>
      <color theme="1"/>
      <name val="メイリオ"/>
      <family val="3"/>
      <charset val="128"/>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cellStyleXfs>
  <cellXfs count="159">
    <xf numFmtId="0" fontId="0" fillId="0" borderId="0" xfId="0"/>
    <xf numFmtId="0" fontId="4" fillId="0" borderId="0" xfId="0" applyFont="1"/>
    <xf numFmtId="0" fontId="4" fillId="0" borderId="2" xfId="0" applyFont="1" applyBorder="1"/>
    <xf numFmtId="0" fontId="4" fillId="0" borderId="2" xfId="0" applyFont="1" applyBorder="1" applyAlignment="1"/>
    <xf numFmtId="14" fontId="4" fillId="0" borderId="2" xfId="0" applyNumberFormat="1" applyFont="1" applyBorder="1"/>
    <xf numFmtId="0" fontId="6" fillId="0" borderId="2" xfId="0" applyFont="1" applyBorder="1"/>
    <xf numFmtId="0" fontId="5" fillId="0" borderId="2" xfId="0" applyFont="1" applyBorder="1"/>
    <xf numFmtId="0" fontId="0" fillId="0" borderId="2" xfId="0" applyBorder="1" applyAlignment="1">
      <alignment horizontal="center"/>
    </xf>
    <xf numFmtId="0" fontId="4" fillId="0" borderId="2" xfId="0" applyFont="1" applyBorder="1" applyAlignment="1">
      <alignment horizontal="center"/>
    </xf>
    <xf numFmtId="0" fontId="4" fillId="0" borderId="2" xfId="0" quotePrefix="1" applyFont="1" applyBorder="1" applyAlignment="1">
      <alignment horizontal="center"/>
    </xf>
    <xf numFmtId="0" fontId="7" fillId="0" borderId="0" xfId="0" applyFont="1" applyBorder="1" applyAlignment="1">
      <alignment horizontal="left"/>
    </xf>
    <xf numFmtId="0" fontId="10" fillId="0" borderId="2" xfId="0" applyFont="1" applyBorder="1" applyAlignment="1">
      <alignment wrapText="1"/>
    </xf>
    <xf numFmtId="0" fontId="10" fillId="0" borderId="2" xfId="0" applyFont="1" applyBorder="1"/>
    <xf numFmtId="0" fontId="11" fillId="0" borderId="2" xfId="0" quotePrefix="1" applyFont="1" applyBorder="1" applyAlignment="1">
      <alignment horizontal="center"/>
    </xf>
    <xf numFmtId="14" fontId="10" fillId="0" borderId="2" xfId="0" applyNumberFormat="1" applyFont="1" applyBorder="1"/>
    <xf numFmtId="0" fontId="11" fillId="0" borderId="2" xfId="0" applyFont="1" applyBorder="1"/>
    <xf numFmtId="14" fontId="11" fillId="0" borderId="2" xfId="0" applyNumberFormat="1" applyFont="1" applyBorder="1"/>
    <xf numFmtId="0" fontId="0" fillId="0" borderId="2" xfId="0" applyBorder="1"/>
    <xf numFmtId="0" fontId="0" fillId="0" borderId="2" xfId="0" applyBorder="1" applyAlignment="1">
      <alignment wrapText="1"/>
    </xf>
    <xf numFmtId="0" fontId="13" fillId="0" borderId="0" xfId="0" applyFont="1"/>
    <xf numFmtId="0" fontId="16" fillId="9" borderId="13" xfId="0" applyFont="1" applyFill="1" applyBorder="1" applyAlignment="1" applyProtection="1">
      <alignment vertical="center"/>
    </xf>
    <xf numFmtId="0" fontId="16" fillId="9" borderId="11" xfId="0" applyFont="1" applyFill="1" applyBorder="1" applyAlignment="1" applyProtection="1">
      <alignment vertical="center"/>
    </xf>
    <xf numFmtId="0" fontId="16" fillId="9" borderId="12" xfId="0" applyFont="1" applyFill="1" applyBorder="1" applyAlignment="1" applyProtection="1">
      <alignment vertical="center"/>
    </xf>
    <xf numFmtId="0" fontId="17" fillId="0" borderId="15" xfId="0" applyFont="1" applyBorder="1" applyAlignment="1" applyProtection="1">
      <alignment horizontal="left" vertical="center" wrapText="1"/>
      <protection locked="0"/>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9" fillId="0" borderId="12" xfId="0" applyFont="1" applyBorder="1" applyAlignment="1" applyProtection="1">
      <alignment vertical="center" wrapText="1"/>
      <protection locked="0"/>
    </xf>
    <xf numFmtId="176" fontId="19" fillId="0" borderId="12" xfId="0" applyNumberFormat="1" applyFont="1" applyBorder="1" applyAlignment="1" applyProtection="1">
      <alignment vertical="center" wrapText="1"/>
      <protection locked="0"/>
    </xf>
    <xf numFmtId="0" fontId="20" fillId="0" borderId="0" xfId="0" applyFont="1"/>
    <xf numFmtId="0" fontId="21" fillId="0" borderId="0" xfId="0" applyFont="1"/>
    <xf numFmtId="0" fontId="16" fillId="9" borderId="16" xfId="0" applyFont="1" applyFill="1" applyBorder="1" applyAlignment="1" applyProtection="1">
      <alignment vertical="center"/>
    </xf>
    <xf numFmtId="0" fontId="19" fillId="0" borderId="0" xfId="0" applyFont="1"/>
    <xf numFmtId="0" fontId="22" fillId="13" borderId="0" xfId="0" applyFont="1" applyFill="1" applyBorder="1" applyAlignment="1">
      <alignment horizontal="center" vertical="center" wrapText="1"/>
    </xf>
    <xf numFmtId="0" fontId="19" fillId="11" borderId="0" xfId="0" applyFont="1" applyFill="1" applyBorder="1" applyAlignment="1">
      <alignment horizontal="left" wrapText="1"/>
    </xf>
    <xf numFmtId="0" fontId="19" fillId="11" borderId="0" xfId="0" applyFont="1" applyFill="1" applyBorder="1"/>
    <xf numFmtId="0" fontId="19" fillId="11" borderId="0" xfId="0" applyFont="1" applyFill="1" applyBorder="1" applyAlignment="1" applyProtection="1">
      <alignment horizontal="center" vertical="center"/>
    </xf>
    <xf numFmtId="0" fontId="17" fillId="11" borderId="0" xfId="0" applyFont="1" applyFill="1" applyBorder="1" applyAlignment="1">
      <alignment horizontal="center" vertical="center" wrapText="1"/>
    </xf>
    <xf numFmtId="9" fontId="19" fillId="11" borderId="0" xfId="0" applyNumberFormat="1" applyFont="1" applyFill="1" applyBorder="1" applyAlignment="1">
      <alignment horizontal="right" vertical="center" indent="1"/>
    </xf>
    <xf numFmtId="0" fontId="20" fillId="0" borderId="0" xfId="0" applyFont="1" applyBorder="1"/>
    <xf numFmtId="0" fontId="20" fillId="0" borderId="2" xfId="0" applyFont="1" applyBorder="1" applyAlignment="1">
      <alignment horizontal="center"/>
    </xf>
    <xf numFmtId="0" fontId="24" fillId="12" borderId="18" xfId="9" applyFont="1" applyFill="1" applyBorder="1" applyAlignment="1">
      <alignment vertical="center"/>
    </xf>
    <xf numFmtId="0" fontId="20" fillId="0" borderId="2" xfId="0" applyFont="1" applyFill="1" applyBorder="1"/>
    <xf numFmtId="0" fontId="20" fillId="0" borderId="18" xfId="0" applyFont="1" applyFill="1" applyBorder="1"/>
    <xf numFmtId="10" fontId="20" fillId="0" borderId="2" xfId="0" applyNumberFormat="1" applyFont="1" applyBorder="1"/>
    <xf numFmtId="0" fontId="20" fillId="0" borderId="2" xfId="0" applyFont="1" applyBorder="1"/>
    <xf numFmtId="0" fontId="20" fillId="0" borderId="18" xfId="0" applyFont="1" applyBorder="1"/>
    <xf numFmtId="0" fontId="13" fillId="0" borderId="0" xfId="0" applyFont="1" applyBorder="1"/>
    <xf numFmtId="49" fontId="13" fillId="0" borderId="0" xfId="0" applyNumberFormat="1" applyFont="1" applyBorder="1"/>
    <xf numFmtId="0" fontId="13" fillId="0" borderId="0" xfId="0" applyFont="1" applyBorder="1" applyAlignment="1">
      <alignment horizontal="left" vertical="top" wrapText="1"/>
    </xf>
    <xf numFmtId="49" fontId="26" fillId="2" borderId="34" xfId="0" applyNumberFormat="1" applyFont="1" applyFill="1" applyBorder="1" applyAlignment="1">
      <alignment horizontal="center" vertical="center" wrapText="1"/>
    </xf>
    <xf numFmtId="0" fontId="26" fillId="2" borderId="32" xfId="0" applyFont="1" applyFill="1" applyBorder="1" applyAlignment="1">
      <alignment horizontal="left" vertical="top" wrapText="1"/>
    </xf>
    <xf numFmtId="0" fontId="26" fillId="2" borderId="32" xfId="0" applyFont="1" applyFill="1" applyBorder="1" applyAlignment="1">
      <alignment horizontal="center" vertical="center" wrapText="1"/>
    </xf>
    <xf numFmtId="0" fontId="26" fillId="2" borderId="33" xfId="0" applyFont="1" applyFill="1" applyBorder="1" applyAlignment="1">
      <alignment horizontal="left" vertical="top" wrapText="1"/>
    </xf>
    <xf numFmtId="49" fontId="27" fillId="3" borderId="35" xfId="0" applyNumberFormat="1" applyFont="1" applyFill="1" applyBorder="1" applyAlignment="1">
      <alignment horizontal="center" vertical="center" wrapText="1"/>
    </xf>
    <xf numFmtId="0" fontId="27" fillId="3" borderId="0" xfId="0" applyFont="1" applyFill="1" applyBorder="1" applyAlignment="1">
      <alignment horizontal="left" vertical="top" wrapText="1"/>
    </xf>
    <xf numFmtId="0" fontId="27" fillId="3" borderId="0" xfId="0" applyFont="1" applyFill="1" applyBorder="1" applyAlignment="1">
      <alignment horizontal="center" vertical="center" wrapText="1"/>
    </xf>
    <xf numFmtId="0" fontId="27" fillId="3" borderId="7" xfId="0" applyFont="1" applyFill="1" applyBorder="1" applyAlignment="1">
      <alignment horizontal="left" vertical="top" wrapText="1"/>
    </xf>
    <xf numFmtId="0" fontId="28" fillId="0" borderId="0" xfId="62" applyFont="1" applyBorder="1" applyAlignment="1">
      <alignment horizontal="left" vertical="top" wrapText="1"/>
    </xf>
    <xf numFmtId="0" fontId="28" fillId="7" borderId="0" xfId="0" applyFont="1" applyFill="1" applyBorder="1" applyAlignment="1">
      <alignment horizontal="center" vertical="center" wrapText="1"/>
    </xf>
    <xf numFmtId="0" fontId="28" fillId="6" borderId="0" xfId="0" applyFont="1" applyFill="1" applyBorder="1" applyAlignment="1">
      <alignment horizontal="center" vertical="center" wrapText="1"/>
    </xf>
    <xf numFmtId="0" fontId="28" fillId="0" borderId="0" xfId="0" applyFont="1" applyBorder="1" applyAlignment="1">
      <alignment horizontal="center" vertical="center" wrapText="1"/>
    </xf>
    <xf numFmtId="0" fontId="20" fillId="0" borderId="0" xfId="0" applyFont="1" applyBorder="1" applyAlignment="1">
      <alignment horizontal="left" vertical="top" wrapText="1"/>
    </xf>
    <xf numFmtId="0" fontId="28" fillId="0" borderId="7" xfId="0" applyFont="1" applyBorder="1" applyAlignment="1">
      <alignment horizontal="left" vertical="top" wrapText="1"/>
    </xf>
    <xf numFmtId="0" fontId="28" fillId="0" borderId="0" xfId="0" applyFont="1" applyBorder="1" applyAlignment="1">
      <alignment vertical="center" wrapText="1"/>
    </xf>
    <xf numFmtId="0" fontId="28" fillId="0" borderId="0" xfId="0" applyFont="1" applyFill="1" applyBorder="1" applyAlignment="1">
      <alignment vertical="center" wrapText="1"/>
    </xf>
    <xf numFmtId="49" fontId="29" fillId="3" borderId="35" xfId="0" applyNumberFormat="1" applyFont="1" applyFill="1" applyBorder="1" applyAlignment="1">
      <alignment horizontal="center" vertical="center" wrapText="1"/>
    </xf>
    <xf numFmtId="0" fontId="29" fillId="3" borderId="0" xfId="0" applyFont="1" applyFill="1" applyBorder="1" applyAlignment="1">
      <alignment horizontal="left" vertical="top" wrapText="1"/>
    </xf>
    <xf numFmtId="0" fontId="29" fillId="3" borderId="0" xfId="0" applyFont="1" applyFill="1" applyBorder="1" applyAlignment="1">
      <alignment vertical="center" wrapText="1"/>
    </xf>
    <xf numFmtId="0" fontId="29" fillId="3" borderId="0" xfId="0" applyFont="1" applyFill="1" applyBorder="1" applyAlignment="1">
      <alignment horizontal="center" vertical="center" wrapText="1"/>
    </xf>
    <xf numFmtId="0" fontId="29" fillId="3" borderId="7" xfId="0" applyFont="1" applyFill="1" applyBorder="1" applyAlignment="1">
      <alignment horizontal="left" vertical="top" wrapText="1"/>
    </xf>
    <xf numFmtId="0" fontId="18" fillId="0" borderId="0" xfId="9" applyFont="1" applyFill="1" applyBorder="1" applyAlignment="1">
      <alignment horizontal="left" vertical="top" wrapText="1"/>
    </xf>
    <xf numFmtId="0" fontId="18" fillId="0" borderId="0" xfId="9" applyFont="1" applyFill="1" applyAlignment="1">
      <alignment horizontal="left" vertical="top" wrapText="1"/>
    </xf>
    <xf numFmtId="0" fontId="30" fillId="0" borderId="7" xfId="0" applyFont="1" applyBorder="1" applyAlignment="1">
      <alignment horizontal="left" vertical="top" wrapText="1"/>
    </xf>
    <xf numFmtId="0" fontId="28" fillId="0" borderId="0" xfId="0" applyFont="1" applyBorder="1" applyAlignment="1">
      <alignment wrapText="1"/>
    </xf>
    <xf numFmtId="0" fontId="28" fillId="0" borderId="0" xfId="0" applyFont="1" applyBorder="1" applyAlignment="1">
      <alignment horizontal="left" vertical="top" wrapText="1"/>
    </xf>
    <xf numFmtId="0" fontId="31" fillId="0" borderId="0" xfId="9" applyFont="1" applyBorder="1" applyAlignment="1">
      <alignment horizontal="left" wrapText="1"/>
    </xf>
    <xf numFmtId="0" fontId="31" fillId="0" borderId="7" xfId="9" applyFont="1" applyBorder="1" applyAlignment="1">
      <alignment horizontal="left" vertical="top" wrapText="1"/>
    </xf>
    <xf numFmtId="0" fontId="18" fillId="0" borderId="0" xfId="9" applyFont="1" applyBorder="1" applyAlignment="1">
      <alignment horizontal="left" vertical="top" wrapText="1"/>
    </xf>
    <xf numFmtId="0" fontId="18" fillId="0" borderId="7" xfId="9" applyFont="1" applyBorder="1" applyAlignment="1">
      <alignment horizontal="left" vertical="top" wrapText="1"/>
    </xf>
    <xf numFmtId="0" fontId="32" fillId="0" borderId="7" xfId="0" applyFont="1" applyBorder="1" applyAlignment="1">
      <alignment horizontal="left" vertical="top" wrapText="1"/>
    </xf>
    <xf numFmtId="0" fontId="32" fillId="0" borderId="0" xfId="0" applyFont="1" applyBorder="1"/>
    <xf numFmtId="49" fontId="26" fillId="2" borderId="21" xfId="0" applyNumberFormat="1" applyFont="1" applyFill="1" applyBorder="1" applyAlignment="1">
      <alignment horizontal="center" vertical="center" wrapText="1"/>
    </xf>
    <xf numFmtId="0" fontId="26" fillId="2" borderId="20" xfId="0" applyFont="1" applyFill="1" applyBorder="1" applyAlignment="1">
      <alignment horizontal="left" vertical="top" wrapText="1"/>
    </xf>
    <xf numFmtId="0" fontId="26" fillId="2" borderId="20" xfId="0" applyFont="1" applyFill="1" applyBorder="1" applyAlignment="1">
      <alignment horizontal="center" vertical="center" wrapText="1"/>
    </xf>
    <xf numFmtId="0" fontId="26" fillId="2" borderId="22" xfId="0" applyFont="1" applyFill="1" applyBorder="1" applyAlignment="1">
      <alignment horizontal="left" vertical="top" wrapText="1"/>
    </xf>
    <xf numFmtId="49" fontId="20" fillId="0" borderId="0" xfId="0" applyNumberFormat="1" applyFont="1" applyBorder="1"/>
    <xf numFmtId="49" fontId="33" fillId="0" borderId="0" xfId="0" applyNumberFormat="1" applyFont="1" applyBorder="1" applyAlignment="1">
      <alignment horizontal="left"/>
    </xf>
    <xf numFmtId="49" fontId="26" fillId="2" borderId="1" xfId="0" applyNumberFormat="1" applyFont="1" applyFill="1" applyBorder="1" applyAlignment="1">
      <alignment vertical="center" wrapText="1"/>
    </xf>
    <xf numFmtId="0" fontId="26" fillId="2" borderId="1" xfId="0" applyFont="1" applyFill="1" applyBorder="1" applyAlignment="1">
      <alignment horizontal="left" vertical="top" wrapText="1"/>
    </xf>
    <xf numFmtId="49" fontId="20" fillId="0" borderId="2" xfId="0" applyNumberFormat="1" applyFont="1" applyBorder="1" applyAlignment="1">
      <alignment vertical="top" wrapText="1"/>
    </xf>
    <xf numFmtId="0" fontId="20" fillId="0" borderId="2" xfId="0" applyFont="1" applyBorder="1" applyAlignment="1">
      <alignment horizontal="left" vertical="top" wrapText="1"/>
    </xf>
    <xf numFmtId="49" fontId="25" fillId="0" borderId="0" xfId="0" applyNumberFormat="1" applyFont="1" applyBorder="1"/>
    <xf numFmtId="0" fontId="28" fillId="5" borderId="0" xfId="0" applyFont="1" applyFill="1" applyBorder="1" applyAlignment="1">
      <alignment horizontal="center" vertical="center" wrapText="1"/>
    </xf>
    <xf numFmtId="49" fontId="25" fillId="0" borderId="0" xfId="0" applyNumberFormat="1" applyFont="1"/>
    <xf numFmtId="0" fontId="13" fillId="0" borderId="0" xfId="0" applyFont="1" applyAlignment="1">
      <alignment horizontal="left" vertical="top" wrapText="1"/>
    </xf>
    <xf numFmtId="49" fontId="13" fillId="0" borderId="0" xfId="0" applyNumberFormat="1" applyFont="1"/>
    <xf numFmtId="0" fontId="13" fillId="0" borderId="0" xfId="0" applyFont="1" applyAlignment="1">
      <alignment wrapText="1"/>
    </xf>
    <xf numFmtId="0" fontId="18" fillId="0" borderId="0" xfId="9" applyFont="1" applyAlignment="1">
      <alignment vertical="top" wrapText="1"/>
    </xf>
    <xf numFmtId="0" fontId="31" fillId="0" borderId="0" xfId="9" applyFont="1" applyBorder="1" applyAlignment="1">
      <alignment horizontal="left" vertical="top" wrapText="1"/>
    </xf>
    <xf numFmtId="0" fontId="26" fillId="2" borderId="0" xfId="0" applyFont="1" applyFill="1" applyBorder="1" applyAlignment="1">
      <alignment horizontal="left" vertical="top" wrapText="1"/>
    </xf>
    <xf numFmtId="0" fontId="26" fillId="2" borderId="7" xfId="0" applyFont="1" applyFill="1" applyBorder="1" applyAlignment="1">
      <alignment horizontal="left" vertical="top" wrapText="1"/>
    </xf>
    <xf numFmtId="49" fontId="20" fillId="0" borderId="0" xfId="0" applyNumberFormat="1" applyFont="1"/>
    <xf numFmtId="0" fontId="20" fillId="0" borderId="0" xfId="0" applyFont="1" applyAlignment="1">
      <alignment horizontal="left" vertical="top" wrapText="1"/>
    </xf>
    <xf numFmtId="49" fontId="33" fillId="0" borderId="0" xfId="0" applyNumberFormat="1" applyFont="1" applyAlignment="1">
      <alignment horizontal="left"/>
    </xf>
    <xf numFmtId="0" fontId="35" fillId="0" borderId="2" xfId="0" applyFont="1" applyBorder="1"/>
    <xf numFmtId="14" fontId="13" fillId="0" borderId="2" xfId="0" applyNumberFormat="1" applyFont="1" applyBorder="1"/>
    <xf numFmtId="0" fontId="13" fillId="0" borderId="2" xfId="0" applyFont="1" applyBorder="1"/>
    <xf numFmtId="0" fontId="13" fillId="0" borderId="2" xfId="0" quotePrefix="1" applyFont="1" applyBorder="1" applyAlignment="1">
      <alignment horizontal="center"/>
    </xf>
    <xf numFmtId="49" fontId="26" fillId="4" borderId="35" xfId="0" applyNumberFormat="1" applyFont="1" applyFill="1" applyBorder="1" applyAlignment="1">
      <alignment horizontal="center" vertical="top" wrapText="1"/>
    </xf>
    <xf numFmtId="49" fontId="26" fillId="4" borderId="35" xfId="0" quotePrefix="1" applyNumberFormat="1" applyFont="1" applyFill="1" applyBorder="1" applyAlignment="1">
      <alignment horizontal="center" vertical="top" wrapText="1"/>
    </xf>
    <xf numFmtId="0" fontId="34" fillId="0" borderId="0" xfId="0" applyFont="1" applyBorder="1" applyAlignment="1">
      <alignment horizontal="left"/>
    </xf>
    <xf numFmtId="0" fontId="16" fillId="0" borderId="13" xfId="0" applyFont="1" applyBorder="1" applyAlignment="1" applyProtection="1">
      <alignment vertical="center"/>
    </xf>
    <xf numFmtId="0" fontId="16" fillId="0" borderId="14" xfId="0" applyFont="1" applyBorder="1" applyAlignment="1" applyProtection="1">
      <alignment vertical="center"/>
    </xf>
    <xf numFmtId="0" fontId="16" fillId="0" borderId="13" xfId="0" applyFont="1" applyBorder="1" applyAlignment="1" applyProtection="1">
      <alignment horizontal="left" vertical="center"/>
    </xf>
    <xf numFmtId="0" fontId="16" fillId="0" borderId="14" xfId="0" applyFont="1" applyBorder="1" applyAlignment="1" applyProtection="1">
      <alignment horizontal="left" vertical="center"/>
    </xf>
    <xf numFmtId="0" fontId="14" fillId="8" borderId="3" xfId="0" applyFont="1" applyFill="1" applyBorder="1" applyAlignment="1" applyProtection="1">
      <alignment horizontal="left" vertical="top" wrapText="1"/>
    </xf>
    <xf numFmtId="0" fontId="14" fillId="8" borderId="4" xfId="0" applyFont="1" applyFill="1" applyBorder="1" applyAlignment="1" applyProtection="1">
      <alignment horizontal="left" vertical="top"/>
    </xf>
    <xf numFmtId="0" fontId="14" fillId="8" borderId="5" xfId="0" applyFont="1" applyFill="1" applyBorder="1" applyAlignment="1" applyProtection="1">
      <alignment horizontal="left" vertical="top"/>
    </xf>
    <xf numFmtId="0" fontId="14" fillId="8" borderId="6" xfId="0" applyFont="1" applyFill="1" applyBorder="1" applyAlignment="1" applyProtection="1">
      <alignment horizontal="left" vertical="top"/>
    </xf>
    <xf numFmtId="0" fontId="14" fillId="8" borderId="0" xfId="0" applyFont="1" applyFill="1" applyBorder="1" applyAlignment="1" applyProtection="1">
      <alignment horizontal="left" vertical="top"/>
    </xf>
    <xf numFmtId="0" fontId="14" fillId="8" borderId="7" xfId="0" applyFont="1" applyFill="1" applyBorder="1" applyAlignment="1" applyProtection="1">
      <alignment horizontal="left" vertical="top"/>
    </xf>
    <xf numFmtId="0" fontId="14" fillId="8" borderId="8" xfId="0" applyFont="1" applyFill="1" applyBorder="1" applyAlignment="1" applyProtection="1">
      <alignment horizontal="left" vertical="top"/>
    </xf>
    <xf numFmtId="0" fontId="14" fillId="8" borderId="9" xfId="0" applyFont="1" applyFill="1" applyBorder="1" applyAlignment="1" applyProtection="1">
      <alignment horizontal="left" vertical="top"/>
    </xf>
    <xf numFmtId="0" fontId="14" fillId="8" borderId="10" xfId="0" applyFont="1" applyFill="1" applyBorder="1" applyAlignment="1" applyProtection="1">
      <alignment horizontal="left" vertical="top"/>
    </xf>
    <xf numFmtId="0" fontId="13" fillId="0" borderId="11" xfId="0" quotePrefix="1" applyFont="1" applyBorder="1" applyAlignment="1" applyProtection="1">
      <alignment horizontal="center"/>
    </xf>
    <xf numFmtId="0" fontId="13" fillId="0" borderId="11" xfId="0" applyFont="1" applyBorder="1" applyAlignment="1" applyProtection="1">
      <alignment horizontal="center"/>
    </xf>
    <xf numFmtId="0" fontId="13" fillId="0" borderId="12" xfId="0" applyFont="1" applyBorder="1" applyAlignment="1" applyProtection="1">
      <alignment horizontal="center"/>
    </xf>
    <xf numFmtId="0" fontId="16" fillId="0" borderId="13" xfId="0" applyFont="1" applyBorder="1" applyAlignment="1" applyProtection="1">
      <alignment horizontal="left" vertical="center" wrapText="1"/>
    </xf>
    <xf numFmtId="0" fontId="16" fillId="0" borderId="11" xfId="0" applyFont="1" applyBorder="1" applyAlignment="1" applyProtection="1">
      <alignment horizontal="left" vertical="center" wrapText="1"/>
    </xf>
    <xf numFmtId="0" fontId="16" fillId="0" borderId="12" xfId="0" applyFont="1" applyBorder="1" applyAlignment="1" applyProtection="1">
      <alignment horizontal="left" vertical="center" wrapText="1"/>
    </xf>
    <xf numFmtId="0" fontId="13" fillId="10" borderId="13" xfId="0" applyFont="1" applyFill="1" applyBorder="1" applyAlignment="1" applyProtection="1">
      <alignment horizontal="center" vertical="center"/>
    </xf>
    <xf numFmtId="0" fontId="13" fillId="10" borderId="11" xfId="0" applyFont="1" applyFill="1" applyBorder="1" applyAlignment="1" applyProtection="1">
      <alignment horizontal="center" vertical="center"/>
    </xf>
    <xf numFmtId="0" fontId="13" fillId="10" borderId="12" xfId="0" applyFont="1" applyFill="1" applyBorder="1" applyAlignment="1" applyProtection="1">
      <alignment horizontal="center" vertical="center"/>
    </xf>
    <xf numFmtId="0" fontId="16" fillId="0" borderId="12" xfId="0" applyFont="1" applyBorder="1" applyAlignment="1" applyProtection="1">
      <alignment horizontal="left" vertical="center"/>
    </xf>
    <xf numFmtId="0" fontId="16" fillId="0" borderId="13" xfId="0" applyFont="1" applyBorder="1" applyAlignment="1" applyProtection="1">
      <alignment vertical="center" wrapText="1"/>
    </xf>
    <xf numFmtId="0" fontId="19" fillId="0" borderId="30" xfId="0" applyFont="1" applyBorder="1" applyAlignment="1">
      <alignment horizontal="center"/>
    </xf>
    <xf numFmtId="0" fontId="19" fillId="0" borderId="31" xfId="0" applyFont="1" applyBorder="1" applyAlignment="1">
      <alignment horizontal="center"/>
    </xf>
    <xf numFmtId="0" fontId="19" fillId="0" borderId="17" xfId="0" applyFont="1" applyBorder="1" applyAlignment="1">
      <alignment horizontal="center"/>
    </xf>
    <xf numFmtId="1" fontId="23" fillId="0" borderId="23" xfId="0" applyNumberFormat="1" applyFont="1" applyBorder="1" applyAlignment="1">
      <alignment horizontal="center" vertical="center"/>
    </xf>
    <xf numFmtId="1" fontId="23" fillId="0" borderId="19" xfId="0" applyNumberFormat="1" applyFont="1" applyBorder="1" applyAlignment="1">
      <alignment horizontal="center" vertical="center"/>
    </xf>
    <xf numFmtId="1" fontId="23" fillId="0" borderId="24" xfId="0" applyNumberFormat="1" applyFont="1" applyBorder="1" applyAlignment="1">
      <alignment horizontal="center" vertical="center"/>
    </xf>
    <xf numFmtId="1" fontId="23" fillId="0" borderId="25" xfId="0" applyNumberFormat="1" applyFont="1" applyBorder="1" applyAlignment="1">
      <alignment horizontal="center" vertical="center"/>
    </xf>
    <xf numFmtId="1" fontId="23" fillId="0" borderId="0" xfId="0" applyNumberFormat="1" applyFont="1" applyBorder="1" applyAlignment="1">
      <alignment horizontal="center" vertical="center"/>
    </xf>
    <xf numFmtId="1" fontId="23" fillId="0" borderId="26" xfId="0" applyNumberFormat="1" applyFont="1" applyBorder="1" applyAlignment="1">
      <alignment horizontal="center" vertical="center"/>
    </xf>
    <xf numFmtId="1" fontId="23" fillId="0" borderId="27" xfId="0" applyNumberFormat="1" applyFont="1" applyBorder="1" applyAlignment="1">
      <alignment horizontal="center" vertical="center"/>
    </xf>
    <xf numFmtId="1" fontId="23" fillId="0" borderId="28" xfId="0" applyNumberFormat="1" applyFont="1" applyBorder="1" applyAlignment="1">
      <alignment horizontal="center" vertical="center"/>
    </xf>
    <xf numFmtId="1" fontId="23" fillId="0" borderId="29" xfId="0" applyNumberFormat="1" applyFont="1" applyBorder="1" applyAlignment="1">
      <alignment horizontal="center" vertical="center"/>
    </xf>
    <xf numFmtId="0" fontId="22" fillId="13" borderId="0" xfId="0" applyFont="1" applyFill="1" applyBorder="1" applyAlignment="1">
      <alignment horizontal="center" vertical="center" wrapText="1"/>
    </xf>
    <xf numFmtId="0" fontId="24" fillId="12" borderId="21" xfId="9" applyFont="1" applyFill="1" applyBorder="1" applyAlignment="1">
      <alignment horizontal="center" vertical="center"/>
    </xf>
    <xf numFmtId="0" fontId="24" fillId="12" borderId="20" xfId="9" applyFont="1" applyFill="1" applyBorder="1" applyAlignment="1">
      <alignment horizontal="center" vertical="center"/>
    </xf>
    <xf numFmtId="0" fontId="24" fillId="12" borderId="22" xfId="9" applyFont="1" applyFill="1" applyBorder="1" applyAlignment="1">
      <alignment horizontal="center" vertical="center"/>
    </xf>
    <xf numFmtId="0" fontId="19" fillId="0" borderId="0" xfId="0" applyFont="1"/>
    <xf numFmtId="0" fontId="25" fillId="0" borderId="0" xfId="0" applyFont="1" applyBorder="1" applyAlignment="1">
      <alignment horizontal="left" vertical="top"/>
    </xf>
    <xf numFmtId="0" fontId="26" fillId="2" borderId="32" xfId="0" applyFont="1" applyFill="1" applyBorder="1" applyAlignment="1">
      <alignment horizontal="center" vertical="top" wrapText="1"/>
    </xf>
    <xf numFmtId="0" fontId="26" fillId="2" borderId="33" xfId="0" applyFont="1" applyFill="1" applyBorder="1" applyAlignment="1">
      <alignment horizontal="center" vertical="top" wrapText="1"/>
    </xf>
    <xf numFmtId="0" fontId="7" fillId="0" borderId="20" xfId="0" applyFont="1" applyBorder="1" applyAlignment="1">
      <alignment horizontal="left"/>
    </xf>
    <xf numFmtId="0" fontId="34" fillId="0" borderId="20" xfId="0" applyFont="1" applyBorder="1" applyAlignment="1">
      <alignment horizontal="left"/>
    </xf>
    <xf numFmtId="0" fontId="10" fillId="0" borderId="2" xfId="0" quotePrefix="1" applyFont="1" applyBorder="1" applyAlignment="1">
      <alignment horizontal="center"/>
    </xf>
    <xf numFmtId="0" fontId="1" fillId="0" borderId="15" xfId="9" applyBorder="1" applyAlignment="1" applyProtection="1">
      <alignment horizontal="left" vertical="center" wrapText="1"/>
      <protection locked="0"/>
    </xf>
  </cellXfs>
  <cellStyles count="63">
    <cellStyle name="Normal 3" xfId="62" xr:uid="{34BD3A51-AA52-F643-9E6A-B40E3FA0D56F}"/>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3" builtinId="9" hidden="1"/>
    <cellStyle name="表示済みのハイパーリンク" xfId="24" builtinId="9" hidden="1"/>
    <cellStyle name="表示済みのハイパーリンク" xfId="25" builtinId="9" hidden="1"/>
    <cellStyle name="表示済みのハイパーリンク" xfId="26" builtinId="9" hidden="1"/>
    <cellStyle name="表示済みのハイパーリンク" xfId="27" builtinId="9" hidden="1"/>
    <cellStyle name="表示済みのハイパーリンク" xfId="28" builtinId="9" hidden="1"/>
    <cellStyle name="表示済みのハイパーリンク" xfId="29" builtinId="9" hidden="1"/>
    <cellStyle name="表示済みのハイパーリンク" xfId="30" builtinId="9" hidden="1"/>
    <cellStyle name="表示済みのハイパーリンク" xfId="31" builtinId="9" hidden="1"/>
    <cellStyle name="表示済みのハイパーリンク" xfId="32" builtinId="9" hidden="1"/>
    <cellStyle name="表示済みのハイパーリンク" xfId="33" builtinId="9" hidden="1"/>
    <cellStyle name="表示済みのハイパーリンク" xfId="34" builtinId="9" hidden="1"/>
    <cellStyle name="表示済みのハイパーリンク" xfId="35" builtinId="9" hidden="1"/>
    <cellStyle name="表示済みのハイパーリンク" xfId="36" builtinId="9" hidden="1"/>
    <cellStyle name="表示済みのハイパーリンク" xfId="37" builtinId="9" hidden="1"/>
    <cellStyle name="表示済みのハイパーリンク" xfId="38" builtinId="9" hidden="1"/>
    <cellStyle name="表示済みのハイパーリンク" xfId="39" builtinId="9" hidden="1"/>
    <cellStyle name="表示済みのハイパーリンク" xfId="40" builtinId="9" hidden="1"/>
    <cellStyle name="表示済みのハイパーリンク" xfId="41" builtinId="9" hidden="1"/>
    <cellStyle name="表示済みのハイパーリンク" xfId="42" builtinId="9" hidden="1"/>
    <cellStyle name="表示済みのハイパーリンク" xfId="43" builtinId="9" hidden="1"/>
    <cellStyle name="表示済みのハイパーリンク" xfId="44" builtinId="9" hidden="1"/>
    <cellStyle name="表示済みのハイパーリンク" xfId="45" builtinId="9" hidden="1"/>
    <cellStyle name="表示済みのハイパーリンク" xfId="46" builtinId="9" hidden="1"/>
    <cellStyle name="表示済みのハイパーリンク" xfId="47" builtinId="9" hidden="1"/>
    <cellStyle name="表示済みのハイパーリンク" xfId="48" builtinId="9" hidden="1"/>
    <cellStyle name="表示済みのハイパーリンク" xfId="49" builtinId="9" hidden="1"/>
    <cellStyle name="表示済みのハイパーリンク" xfId="50" builtinId="9" hidden="1"/>
    <cellStyle name="表示済みのハイパーリンク" xfId="51" builtinId="9" hidden="1"/>
    <cellStyle name="表示済みのハイパーリンク" xfId="52" builtinId="9" hidden="1"/>
    <cellStyle name="表示済みのハイパーリンク" xfId="53" builtinId="9" hidden="1"/>
    <cellStyle name="表示済みのハイパーリンク" xfId="54" builtinId="9" hidden="1"/>
    <cellStyle name="表示済みのハイパーリンク" xfId="55" builtinId="9" hidden="1"/>
    <cellStyle name="表示済みのハイパーリンク" xfId="56" builtinId="9" hidden="1"/>
    <cellStyle name="表示済みのハイパーリンク" xfId="57" builtinId="9" hidden="1"/>
    <cellStyle name="表示済みのハイパーリンク" xfId="58" builtinId="9" hidden="1"/>
    <cellStyle name="表示済みのハイパーリンク" xfId="59" builtinId="9" hidden="1"/>
    <cellStyle name="表示済みのハイパーリンク" xfId="60" builtinId="9" hidden="1"/>
    <cellStyle name="表示済みのハイパーリンク" xfId="61" builtinId="9" hidden="1"/>
  </cellStyles>
  <dxfs count="12">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u="sng"/>
            </a:pPr>
            <a:r>
              <a:rPr lang="fr-FR" b="1" u="sng"/>
              <a:t>MASVS </a:t>
            </a:r>
            <a:r>
              <a:rPr lang="ja-JP" altLang="en-US" b="1" u="sng"/>
              <a:t>準拠ダイアグラム </a:t>
            </a:r>
            <a:r>
              <a:rPr lang="fr-FR" b="1" u="sng"/>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u="sng"/>
            </a:pPr>
            <a:r>
              <a:rPr lang="fr-FR" b="1" u="sng"/>
              <a:t>MASVS </a:t>
            </a:r>
            <a:r>
              <a:rPr lang="ja-JP" b="1" u="sng"/>
              <a:t>準拠ダイアグラム</a:t>
            </a:r>
            <a:r>
              <a:rPr lang="fr-FR" b="1" u="sng"/>
              <a:t>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アーキテクチャ、設計、脅威モデリング</c:v>
                </c:pt>
                <c:pt idx="1">
                  <c:v>V2: データストレージとプライバシー</c:v>
                </c:pt>
                <c:pt idx="2">
                  <c:v>V3: 暗号化</c:v>
                </c:pt>
                <c:pt idx="3">
                  <c:v>V4: 認証とセッション管理</c:v>
                </c:pt>
                <c:pt idx="4">
                  <c:v>V5: ネットワーク通信</c:v>
                </c:pt>
                <c:pt idx="5">
                  <c:v>V6: プラットフォーム連携</c:v>
                </c:pt>
                <c:pt idx="6">
                  <c:v>V7: コード品質とビルド設定</c:v>
                </c:pt>
                <c:pt idx="7">
                  <c:v>V8: リバースエンジニアリングに対する耐性</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a:pPr>
            <a:endParaRPr lang="ja-JP"/>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a:pPr>
            <a:endParaRPr lang="ja-JP"/>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mn-ea"/>
          <a:ea typeface="+mn-ea"/>
          <a:cs typeface="Arial"/>
        </a:defRPr>
      </a:pPr>
      <a:endParaRPr lang="ja-JP"/>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5593067</xdr:colOff>
      <xdr:row>1</xdr:row>
      <xdr:rowOff>120276</xdr:rowOff>
    </xdr:from>
    <xdr:to>
      <xdr:col>3</xdr:col>
      <xdr:colOff>6263361</xdr:colOff>
      <xdr:row>4</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487" y="219336"/>
          <a:ext cx="670294" cy="653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502894</xdr:colOff>
      <xdr:row>11</xdr:row>
      <xdr:rowOff>192373</xdr:rowOff>
    </xdr:from>
    <xdr:to>
      <xdr:col>9</xdr:col>
      <xdr:colOff>558918</xdr:colOff>
      <xdr:row>34</xdr:row>
      <xdr:rowOff>14573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678461</xdr:colOff>
      <xdr:row>11</xdr:row>
      <xdr:rowOff>194913</xdr:rowOff>
    </xdr:from>
    <xdr:to>
      <xdr:col>24</xdr:col>
      <xdr:colOff>577636</xdr:colOff>
      <xdr:row>34</xdr:row>
      <xdr:rowOff>36163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owasp-mstg/work/Mobile_App_Security_Checklist-Japanese_1.1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anagement Summary"/>
      <sheetName val="Security Requirements - Android"/>
      <sheetName val="Anti-RE - Android"/>
      <sheetName val="Security Requirements - iOS"/>
      <sheetName val="Anti-RE - iOS"/>
      <sheetName val="Version history"/>
    </sheetNames>
    <sheetDataSet>
      <sheetData sheetId="0">
        <row r="11">
          <cell r="D11" t="str">
            <v>1.1.0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ithub.com/OWASP/owasp-mstg/blob/1.1.0/Document/0x04i-Testing-user-interaction.m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D50"/>
  <sheetViews>
    <sheetView showGridLines="0" tabSelected="1" zoomScaleNormal="100" zoomScalePageLayoutView="120" workbookViewId="0"/>
  </sheetViews>
  <sheetFormatPr defaultColWidth="8.6640625" defaultRowHeight="19.2" x14ac:dyDescent="0.55000000000000004"/>
  <cols>
    <col min="1" max="1" width="1.9140625" style="19" customWidth="1"/>
    <col min="2" max="2" width="8.6640625" style="19"/>
    <col min="3" max="3" width="13.6640625" style="19" customWidth="1"/>
    <col min="4" max="4" width="70.58203125" style="19" customWidth="1"/>
    <col min="5" max="16384" width="8.6640625" style="19"/>
  </cols>
  <sheetData>
    <row r="1" spans="2:4" ht="7.95" customHeight="1" x14ac:dyDescent="0.55000000000000004"/>
    <row r="2" spans="2:4" x14ac:dyDescent="0.55000000000000004">
      <c r="B2" s="115" t="s">
        <v>139</v>
      </c>
      <c r="C2" s="116"/>
      <c r="D2" s="117"/>
    </row>
    <row r="3" spans="2:4" x14ac:dyDescent="0.55000000000000004">
      <c r="B3" s="118"/>
      <c r="C3" s="119"/>
      <c r="D3" s="120"/>
    </row>
    <row r="4" spans="2:4" x14ac:dyDescent="0.55000000000000004">
      <c r="B4" s="118"/>
      <c r="C4" s="119"/>
      <c r="D4" s="120"/>
    </row>
    <row r="5" spans="2:4" x14ac:dyDescent="0.55000000000000004">
      <c r="B5" s="118"/>
      <c r="C5" s="119"/>
      <c r="D5" s="120"/>
    </row>
    <row r="6" spans="2:4" x14ac:dyDescent="0.55000000000000004">
      <c r="B6" s="118"/>
      <c r="C6" s="119"/>
      <c r="D6" s="120"/>
    </row>
    <row r="7" spans="2:4" x14ac:dyDescent="0.55000000000000004">
      <c r="B7" s="118"/>
      <c r="C7" s="119"/>
      <c r="D7" s="120"/>
    </row>
    <row r="8" spans="2:4" hidden="1" x14ac:dyDescent="0.55000000000000004">
      <c r="B8" s="121"/>
      <c r="C8" s="122"/>
      <c r="D8" s="123"/>
    </row>
    <row r="9" spans="2:4" x14ac:dyDescent="0.55000000000000004">
      <c r="B9" s="124" t="s">
        <v>66</v>
      </c>
      <c r="C9" s="125"/>
      <c r="D9" s="126"/>
    </row>
    <row r="10" spans="2:4" x14ac:dyDescent="0.55000000000000004">
      <c r="B10" s="20" t="s">
        <v>138</v>
      </c>
      <c r="C10" s="21"/>
      <c r="D10" s="22"/>
    </row>
    <row r="11" spans="2:4" x14ac:dyDescent="0.55000000000000004">
      <c r="B11" s="111" t="s">
        <v>140</v>
      </c>
      <c r="C11" s="112"/>
      <c r="D11" s="23" t="s">
        <v>295</v>
      </c>
    </row>
    <row r="12" spans="2:4" x14ac:dyDescent="0.55000000000000004">
      <c r="B12" s="111" t="s">
        <v>293</v>
      </c>
      <c r="C12" s="112"/>
      <c r="D12" s="158" t="str">
        <f>HYPERLINK(CONCATENATE(
"https://github.com/OWASP/owasp-masvs/blob/",
MASVS_VERSION,
"/Document/"))</f>
        <v>https://github.com/OWASP/owasp-masvs/blob/1.1.4/Document/</v>
      </c>
    </row>
    <row r="13" spans="2:4" x14ac:dyDescent="0.55000000000000004">
      <c r="B13" s="111" t="s">
        <v>294</v>
      </c>
      <c r="C13" s="112"/>
      <c r="D13" s="23" t="s">
        <v>296</v>
      </c>
    </row>
    <row r="14" spans="2:4" x14ac:dyDescent="0.55000000000000004">
      <c r="B14" s="111" t="s">
        <v>141</v>
      </c>
      <c r="C14" s="112"/>
      <c r="D14" s="158" t="str">
        <f>HYPERLINK(CONCATENATE(
"https://github.com/OWASP/owasp-mstg/blob/",
MSTG_VERSION,
"/Document/"))</f>
        <v>https://github.com/OWASP/owasp-mstg/blob/1.1.2/Document/</v>
      </c>
    </row>
    <row r="15" spans="2:4" ht="31.95" customHeight="1" x14ac:dyDescent="0.55000000000000004">
      <c r="B15" s="127" t="s">
        <v>142</v>
      </c>
      <c r="C15" s="128"/>
      <c r="D15" s="129"/>
    </row>
    <row r="16" spans="2:4" x14ac:dyDescent="0.55000000000000004">
      <c r="B16" s="111" t="s">
        <v>143</v>
      </c>
      <c r="C16" s="112"/>
      <c r="D16" s="23"/>
    </row>
    <row r="17" spans="2:4" x14ac:dyDescent="0.55000000000000004">
      <c r="B17" s="113" t="s">
        <v>144</v>
      </c>
      <c r="C17" s="114"/>
      <c r="D17" s="23"/>
    </row>
    <row r="18" spans="2:4" x14ac:dyDescent="0.55000000000000004">
      <c r="B18" s="111" t="s">
        <v>145</v>
      </c>
      <c r="C18" s="112"/>
      <c r="D18" s="23"/>
    </row>
    <row r="19" spans="2:4" x14ac:dyDescent="0.55000000000000004">
      <c r="B19" s="111" t="s">
        <v>146</v>
      </c>
      <c r="C19" s="112"/>
      <c r="D19" s="23"/>
    </row>
    <row r="20" spans="2:4" x14ac:dyDescent="0.55000000000000004">
      <c r="B20" s="111" t="s">
        <v>147</v>
      </c>
      <c r="C20" s="112"/>
      <c r="D20" s="23"/>
    </row>
    <row r="21" spans="2:4" x14ac:dyDescent="0.55000000000000004">
      <c r="B21" s="111" t="s">
        <v>148</v>
      </c>
      <c r="C21" s="112"/>
      <c r="D21" s="23" t="s">
        <v>149</v>
      </c>
    </row>
    <row r="22" spans="2:4" ht="70.5" customHeight="1" x14ac:dyDescent="0.55000000000000004">
      <c r="B22" s="111" t="s">
        <v>150</v>
      </c>
      <c r="C22" s="112"/>
      <c r="D22" s="23" t="s">
        <v>151</v>
      </c>
    </row>
    <row r="23" spans="2:4" x14ac:dyDescent="0.55000000000000004">
      <c r="B23" s="125"/>
      <c r="C23" s="125"/>
      <c r="D23" s="126"/>
    </row>
    <row r="24" spans="2:4" x14ac:dyDescent="0.55000000000000004">
      <c r="B24" s="20" t="s">
        <v>152</v>
      </c>
      <c r="C24" s="21"/>
      <c r="D24" s="22"/>
    </row>
    <row r="25" spans="2:4" x14ac:dyDescent="0.55000000000000004">
      <c r="B25" s="24" t="s">
        <v>153</v>
      </c>
      <c r="C25" s="25"/>
      <c r="D25" s="23"/>
    </row>
    <row r="26" spans="2:4" x14ac:dyDescent="0.55000000000000004">
      <c r="B26" s="111" t="s">
        <v>159</v>
      </c>
      <c r="C26" s="112"/>
      <c r="D26" s="23"/>
    </row>
    <row r="27" spans="2:4" x14ac:dyDescent="0.55000000000000004">
      <c r="B27" s="111" t="s">
        <v>154</v>
      </c>
      <c r="C27" s="112"/>
      <c r="D27" s="23"/>
    </row>
    <row r="28" spans="2:4" x14ac:dyDescent="0.55000000000000004">
      <c r="B28" s="111" t="s">
        <v>155</v>
      </c>
      <c r="C28" s="112"/>
      <c r="D28" s="23"/>
    </row>
    <row r="29" spans="2:4" ht="52.05" customHeight="1" x14ac:dyDescent="0.55000000000000004">
      <c r="B29" s="134" t="s">
        <v>156</v>
      </c>
      <c r="C29" s="112"/>
      <c r="D29" s="23"/>
    </row>
    <row r="30" spans="2:4" x14ac:dyDescent="0.55000000000000004">
      <c r="B30" s="125"/>
      <c r="C30" s="125"/>
      <c r="D30" s="126"/>
    </row>
    <row r="31" spans="2:4" x14ac:dyDescent="0.55000000000000004">
      <c r="B31" s="20" t="s">
        <v>157</v>
      </c>
      <c r="C31" s="21"/>
      <c r="D31" s="22"/>
    </row>
    <row r="32" spans="2:4" x14ac:dyDescent="0.55000000000000004">
      <c r="B32" s="24" t="s">
        <v>153</v>
      </c>
      <c r="C32" s="25"/>
      <c r="D32" s="23"/>
    </row>
    <row r="33" spans="2:4" x14ac:dyDescent="0.55000000000000004">
      <c r="B33" s="111" t="s">
        <v>158</v>
      </c>
      <c r="C33" s="112"/>
      <c r="D33" s="23"/>
    </row>
    <row r="34" spans="2:4" x14ac:dyDescent="0.55000000000000004">
      <c r="B34" s="111" t="s">
        <v>154</v>
      </c>
      <c r="C34" s="112"/>
      <c r="D34" s="23"/>
    </row>
    <row r="35" spans="2:4" x14ac:dyDescent="0.55000000000000004">
      <c r="B35" s="111" t="s">
        <v>155</v>
      </c>
      <c r="C35" s="112"/>
      <c r="D35" s="23"/>
    </row>
    <row r="36" spans="2:4" ht="52.05" customHeight="1" x14ac:dyDescent="0.55000000000000004">
      <c r="B36" s="134" t="s">
        <v>160</v>
      </c>
      <c r="C36" s="112"/>
      <c r="D36" s="23"/>
    </row>
    <row r="37" spans="2:4" x14ac:dyDescent="0.55000000000000004">
      <c r="B37" s="125"/>
      <c r="C37" s="125"/>
      <c r="D37" s="126"/>
    </row>
    <row r="38" spans="2:4" x14ac:dyDescent="0.55000000000000004">
      <c r="B38" s="20" t="s">
        <v>161</v>
      </c>
      <c r="C38" s="21"/>
      <c r="D38" s="22"/>
    </row>
    <row r="39" spans="2:4" x14ac:dyDescent="0.55000000000000004">
      <c r="B39" s="130"/>
      <c r="C39" s="131"/>
      <c r="D39" s="132"/>
    </row>
    <row r="40" spans="2:4" x14ac:dyDescent="0.55000000000000004">
      <c r="B40" s="113" t="s">
        <v>162</v>
      </c>
      <c r="C40" s="133"/>
      <c r="D40" s="26"/>
    </row>
    <row r="41" spans="2:4" x14ac:dyDescent="0.55000000000000004">
      <c r="B41" s="113" t="s">
        <v>163</v>
      </c>
      <c r="C41" s="133"/>
      <c r="D41" s="26"/>
    </row>
    <row r="42" spans="2:4" x14ac:dyDescent="0.55000000000000004">
      <c r="B42" s="113" t="s">
        <v>164</v>
      </c>
      <c r="C42" s="133"/>
      <c r="D42" s="26"/>
    </row>
    <row r="43" spans="2:4" x14ac:dyDescent="0.55000000000000004">
      <c r="B43" s="113" t="s">
        <v>165</v>
      </c>
      <c r="C43" s="133"/>
      <c r="D43" s="27"/>
    </row>
    <row r="44" spans="2:4" x14ac:dyDescent="0.55000000000000004">
      <c r="B44" s="113" t="s">
        <v>166</v>
      </c>
      <c r="C44" s="133"/>
      <c r="D44" s="26"/>
    </row>
    <row r="45" spans="2:4" x14ac:dyDescent="0.55000000000000004">
      <c r="B45" s="130"/>
      <c r="C45" s="131"/>
      <c r="D45" s="132"/>
    </row>
    <row r="46" spans="2:4" x14ac:dyDescent="0.55000000000000004">
      <c r="B46" s="113" t="s">
        <v>162</v>
      </c>
      <c r="C46" s="133"/>
      <c r="D46" s="26"/>
    </row>
    <row r="47" spans="2:4" x14ac:dyDescent="0.55000000000000004">
      <c r="B47" s="113" t="s">
        <v>163</v>
      </c>
      <c r="C47" s="133"/>
      <c r="D47" s="26"/>
    </row>
    <row r="48" spans="2:4" x14ac:dyDescent="0.55000000000000004">
      <c r="B48" s="113" t="s">
        <v>164</v>
      </c>
      <c r="C48" s="133"/>
      <c r="D48" s="26"/>
    </row>
    <row r="49" spans="2:4" x14ac:dyDescent="0.55000000000000004">
      <c r="B49" s="113" t="s">
        <v>165</v>
      </c>
      <c r="C49" s="133"/>
      <c r="D49" s="27"/>
    </row>
    <row r="50" spans="2:4" x14ac:dyDescent="0.55000000000000004">
      <c r="B50" s="113" t="s">
        <v>166</v>
      </c>
      <c r="C50" s="133"/>
      <c r="D50" s="26"/>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1:C11"/>
    <mergeCell ref="B18:C18"/>
    <mergeCell ref="B20:C20"/>
    <mergeCell ref="B16:C16"/>
    <mergeCell ref="B15:D15"/>
    <mergeCell ref="B12:C12"/>
    <mergeCell ref="B13:C13"/>
    <mergeCell ref="B14:C14"/>
  </mergeCells>
  <phoneticPr fontId="12"/>
  <pageMargins left="0.70866141732283472" right="0.70866141732283472" top="0.74803149606299213" bottom="0.74803149606299213" header="0.31496062992125984" footer="0.31496062992125984"/>
  <pageSetup paperSize="9" scale="6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X50"/>
  <sheetViews>
    <sheetView showGridLines="0" zoomScaleNormal="100" zoomScalePageLayoutView="150" workbookViewId="0"/>
  </sheetViews>
  <sheetFormatPr defaultColWidth="8.6640625" defaultRowHeight="17.399999999999999" x14ac:dyDescent="0.5"/>
  <cols>
    <col min="1" max="1" width="1.5" style="28" customWidth="1"/>
    <col min="2" max="2" width="9.4140625" style="28" customWidth="1"/>
    <col min="3" max="3" width="35.58203125" style="28" customWidth="1"/>
    <col min="4" max="11" width="9" style="28" customWidth="1"/>
    <col min="12" max="21" width="4.6640625" style="28" customWidth="1"/>
    <col min="22" max="16384" width="8.6640625" style="28"/>
  </cols>
  <sheetData>
    <row r="1" spans="2:24" ht="18" thickBot="1" x14ac:dyDescent="0.55000000000000004"/>
    <row r="2" spans="2:24" ht="18" thickBot="1" x14ac:dyDescent="0.55000000000000004">
      <c r="B2" s="29"/>
      <c r="C2" s="30" t="s">
        <v>167</v>
      </c>
      <c r="D2" s="31"/>
      <c r="E2" s="31"/>
      <c r="F2" s="31"/>
    </row>
    <row r="3" spans="2:24" x14ac:dyDescent="0.5">
      <c r="B3" s="31"/>
      <c r="C3" s="31"/>
      <c r="D3" s="31"/>
      <c r="E3" s="31"/>
      <c r="F3" s="31"/>
    </row>
    <row r="4" spans="2:24" x14ac:dyDescent="0.5">
      <c r="B4" s="151"/>
      <c r="C4" s="151"/>
      <c r="D4" s="151"/>
      <c r="E4" s="151"/>
      <c r="F4" s="151"/>
    </row>
    <row r="5" spans="2:24" ht="16.05" customHeight="1" thickBot="1" x14ac:dyDescent="0.55000000000000004">
      <c r="B5" s="32"/>
      <c r="C5" s="32"/>
      <c r="D5" s="32"/>
      <c r="E5" s="32"/>
      <c r="F5" s="32"/>
    </row>
    <row r="6" spans="2:24" ht="19.05" customHeight="1" thickBot="1" x14ac:dyDescent="0.55000000000000004">
      <c r="B6" s="33"/>
      <c r="C6" s="33"/>
      <c r="D6" s="33"/>
      <c r="E6" s="33"/>
      <c r="F6" s="33"/>
      <c r="G6" s="135" t="s">
        <v>168</v>
      </c>
      <c r="H6" s="136"/>
      <c r="I6" s="137"/>
      <c r="V6" s="135" t="s">
        <v>76</v>
      </c>
      <c r="W6" s="136"/>
      <c r="X6" s="137"/>
    </row>
    <row r="7" spans="2:24" ht="18" thickBot="1" x14ac:dyDescent="0.55000000000000004">
      <c r="B7" s="34"/>
      <c r="C7" s="34"/>
      <c r="D7" s="34"/>
      <c r="E7" s="34"/>
      <c r="F7" s="34"/>
    </row>
    <row r="8" spans="2:24" ht="16.05" customHeight="1" x14ac:dyDescent="0.5">
      <c r="B8" s="32"/>
      <c r="C8" s="32"/>
      <c r="D8" s="32"/>
      <c r="E8" s="32"/>
      <c r="F8" s="32"/>
      <c r="G8" s="138">
        <f>AVERAGE(G43:G50)*5</f>
        <v>0</v>
      </c>
      <c r="H8" s="139"/>
      <c r="I8" s="140"/>
      <c r="V8" s="138">
        <f>AVERAGE(K43:K50)*5</f>
        <v>0</v>
      </c>
      <c r="W8" s="139"/>
      <c r="X8" s="140"/>
    </row>
    <row r="9" spans="2:24" ht="91.05" customHeight="1" x14ac:dyDescent="0.5">
      <c r="B9" s="33"/>
      <c r="C9" s="33"/>
      <c r="D9" s="33"/>
      <c r="E9" s="33"/>
      <c r="F9" s="33"/>
      <c r="G9" s="141"/>
      <c r="H9" s="142"/>
      <c r="I9" s="143"/>
      <c r="V9" s="141"/>
      <c r="W9" s="142"/>
      <c r="X9" s="143"/>
    </row>
    <row r="10" spans="2:24" ht="16.5" customHeight="1" x14ac:dyDescent="0.5">
      <c r="B10" s="34"/>
      <c r="C10" s="34"/>
      <c r="D10" s="34"/>
      <c r="E10" s="34"/>
      <c r="F10" s="34"/>
      <c r="G10" s="141"/>
      <c r="H10" s="142"/>
      <c r="I10" s="143"/>
      <c r="V10" s="141"/>
      <c r="W10" s="142"/>
      <c r="X10" s="143"/>
    </row>
    <row r="11" spans="2:24" ht="17.25" customHeight="1" thickBot="1" x14ac:dyDescent="0.55000000000000004">
      <c r="B11" s="34"/>
      <c r="C11" s="34"/>
      <c r="D11" s="34"/>
      <c r="E11" s="34"/>
      <c r="F11" s="34"/>
      <c r="G11" s="144"/>
      <c r="H11" s="145"/>
      <c r="I11" s="146"/>
      <c r="V11" s="144"/>
      <c r="W11" s="145"/>
      <c r="X11" s="146"/>
    </row>
    <row r="12" spans="2:24" ht="16.05" customHeight="1" x14ac:dyDescent="0.5">
      <c r="B12" s="147"/>
      <c r="C12" s="147"/>
      <c r="D12" s="147"/>
      <c r="E12" s="147"/>
      <c r="F12" s="147"/>
    </row>
    <row r="13" spans="2:24" x14ac:dyDescent="0.5">
      <c r="B13" s="35"/>
      <c r="C13" s="35"/>
      <c r="D13" s="35"/>
      <c r="E13" s="35"/>
      <c r="F13" s="35"/>
    </row>
    <row r="14" spans="2:24" x14ac:dyDescent="0.5">
      <c r="B14" s="36"/>
      <c r="C14" s="36"/>
      <c r="D14" s="36"/>
      <c r="E14" s="36"/>
      <c r="F14" s="37"/>
    </row>
    <row r="15" spans="2:24" x14ac:dyDescent="0.5">
      <c r="B15" s="34"/>
      <c r="C15" s="34"/>
      <c r="D15" s="34"/>
      <c r="E15" s="34"/>
      <c r="F15" s="34"/>
    </row>
    <row r="16" spans="2:24" ht="16.05" customHeight="1" x14ac:dyDescent="0.5">
      <c r="B16" s="147"/>
      <c r="C16" s="147"/>
      <c r="D16" s="147"/>
      <c r="E16" s="147"/>
      <c r="F16" s="147"/>
    </row>
    <row r="17" spans="2:6" x14ac:dyDescent="0.5">
      <c r="B17" s="35"/>
      <c r="C17" s="35"/>
      <c r="D17" s="35"/>
      <c r="E17" s="35"/>
      <c r="F17" s="35"/>
    </row>
    <row r="18" spans="2:6" x14ac:dyDescent="0.5">
      <c r="B18" s="36"/>
      <c r="C18" s="36"/>
      <c r="D18" s="36"/>
      <c r="E18" s="36"/>
      <c r="F18" s="37"/>
    </row>
    <row r="23" spans="2:6" x14ac:dyDescent="0.5">
      <c r="C23" s="38"/>
    </row>
    <row r="24" spans="2:6" x14ac:dyDescent="0.5">
      <c r="C24" s="38"/>
    </row>
    <row r="25" spans="2:6" x14ac:dyDescent="0.5">
      <c r="C25" s="38"/>
    </row>
    <row r="26" spans="2:6" x14ac:dyDescent="0.5">
      <c r="C26" s="38"/>
    </row>
    <row r="27" spans="2:6" x14ac:dyDescent="0.5">
      <c r="C27" s="38"/>
    </row>
    <row r="28" spans="2:6" x14ac:dyDescent="0.5">
      <c r="C28" s="38"/>
    </row>
    <row r="29" spans="2:6" x14ac:dyDescent="0.5">
      <c r="C29" s="38"/>
    </row>
    <row r="30" spans="2:6" x14ac:dyDescent="0.5">
      <c r="C30" s="38"/>
    </row>
    <row r="31" spans="2:6" x14ac:dyDescent="0.5">
      <c r="C31" s="38"/>
    </row>
    <row r="32" spans="2:6" x14ac:dyDescent="0.5">
      <c r="C32" s="38"/>
    </row>
    <row r="35" spans="3:11" ht="15.75" customHeight="1" x14ac:dyDescent="0.5"/>
    <row r="41" spans="3:11" x14ac:dyDescent="0.5">
      <c r="D41" s="148" t="s">
        <v>74</v>
      </c>
      <c r="E41" s="149"/>
      <c r="F41" s="149"/>
      <c r="G41" s="150"/>
      <c r="H41" s="148" t="s">
        <v>75</v>
      </c>
      <c r="I41" s="149"/>
      <c r="J41" s="149"/>
      <c r="K41" s="150"/>
    </row>
    <row r="42" spans="3:11" x14ac:dyDescent="0.5">
      <c r="D42" s="39" t="s">
        <v>70</v>
      </c>
      <c r="E42" s="39" t="s">
        <v>71</v>
      </c>
      <c r="F42" s="39" t="s">
        <v>72</v>
      </c>
      <c r="G42" s="39" t="s">
        <v>73</v>
      </c>
      <c r="H42" s="39" t="s">
        <v>70</v>
      </c>
      <c r="I42" s="39" t="s">
        <v>71</v>
      </c>
      <c r="J42" s="39" t="s">
        <v>72</v>
      </c>
      <c r="K42" s="39" t="s">
        <v>73</v>
      </c>
    </row>
    <row r="43" spans="3:11" x14ac:dyDescent="0.5">
      <c r="C43" s="40" t="s">
        <v>169</v>
      </c>
      <c r="D43" s="41">
        <f>COUNTIFS('Security Requirements - Android'!F5:F14,'Security Requirements - Android'!B79)</f>
        <v>0</v>
      </c>
      <c r="E43" s="41">
        <f>COUNTIFS('Security Requirements - Android'!F5:F14,'Security Requirements - Android'!B80)</f>
        <v>0</v>
      </c>
      <c r="F43" s="42">
        <f>COUNTIFS('Security Requirements - Android'!F5:F14,'Security Requirements - Android'!B81)</f>
        <v>6</v>
      </c>
      <c r="G43" s="43">
        <f t="shared" ref="G43:G49" si="0">IF(D43+E43=0, 0, D43/(E43+D43))</f>
        <v>0</v>
      </c>
      <c r="H43" s="44">
        <f>COUNTIFS('Security Requirements - iOS'!F5:F14,'Security Requirements - Android'!B79)</f>
        <v>0</v>
      </c>
      <c r="I43" s="44">
        <f>COUNTIFS('Security Requirements - iOS'!F5:F14,'Security Requirements - Android'!B80)</f>
        <v>0</v>
      </c>
      <c r="J43" s="45">
        <f>COUNTIFS('Security Requirements - iOS'!F5:F14,'Security Requirements - Android'!B81)</f>
        <v>6</v>
      </c>
      <c r="K43" s="43">
        <f t="shared" ref="K43:K49" si="1">IF(H43+I43=0, 0, H43/(H43+I43))</f>
        <v>0</v>
      </c>
    </row>
    <row r="44" spans="3:11" x14ac:dyDescent="0.5">
      <c r="C44" s="40" t="s">
        <v>170</v>
      </c>
      <c r="D44" s="41">
        <f>COUNTIFS('Security Requirements - Android'!F16:F27,'Security Requirements - Android'!B79)</f>
        <v>0</v>
      </c>
      <c r="E44" s="41">
        <f>COUNTIFS('Security Requirements - Android'!F16:F27,'Security Requirements - Android'!B80)</f>
        <v>0</v>
      </c>
      <c r="F44" s="41">
        <f>COUNTIFS('Security Requirements - Android'!F16:F27,'Security Requirements - Android'!B81)</f>
        <v>5</v>
      </c>
      <c r="G44" s="43">
        <f t="shared" si="0"/>
        <v>0</v>
      </c>
      <c r="H44" s="44">
        <f>COUNTIFS('Security Requirements - iOS'!F16:F27,'Security Requirements - Android'!B79)</f>
        <v>0</v>
      </c>
      <c r="I44" s="44">
        <f>COUNTIFS('Security Requirements - iOS'!F16:F27,'Security Requirements - Android'!B80)</f>
        <v>0</v>
      </c>
      <c r="J44" s="44">
        <f>COUNTIFS('Security Requirements - iOS'!F16:F27,'Security Requirements - Android'!B81)</f>
        <v>5</v>
      </c>
      <c r="K44" s="43">
        <f t="shared" si="1"/>
        <v>0</v>
      </c>
    </row>
    <row r="45" spans="3:11" x14ac:dyDescent="0.5">
      <c r="C45" s="40" t="s">
        <v>171</v>
      </c>
      <c r="D45" s="41">
        <f>COUNTIFS('Security Requirements - Android'!F29:F34,'Security Requirements - Android'!B79)</f>
        <v>0</v>
      </c>
      <c r="E45" s="41">
        <f>COUNTIFS('Security Requirements - Android'!F29:F34,'Security Requirements - Android'!B80)</f>
        <v>0</v>
      </c>
      <c r="F45" s="41">
        <f>COUNTIFS('Security Requirements - Android'!F29:F34,'Security Requirements - Android'!B81)</f>
        <v>0</v>
      </c>
      <c r="G45" s="43">
        <f t="shared" si="0"/>
        <v>0</v>
      </c>
      <c r="H45" s="44">
        <f>COUNTIFS('Security Requirements - iOS'!F29:F34,'Security Requirements - Android'!B79)</f>
        <v>0</v>
      </c>
      <c r="I45" s="44">
        <f>COUNTIFS('Security Requirements - iOS'!F29:F34,'Security Requirements - Android'!B80)</f>
        <v>0</v>
      </c>
      <c r="J45" s="44">
        <f>COUNTIFS('Security Requirements - iOS'!F29:F34,'Security Requirements - Android'!B81)</f>
        <v>0</v>
      </c>
      <c r="K45" s="43">
        <f t="shared" si="1"/>
        <v>0</v>
      </c>
    </row>
    <row r="46" spans="3:11" x14ac:dyDescent="0.5">
      <c r="C46" s="40" t="s">
        <v>172</v>
      </c>
      <c r="D46" s="41">
        <f>COUNTIFS('Security Requirements - Android'!F36:F46,'Security Requirements - Android'!B79)</f>
        <v>0</v>
      </c>
      <c r="E46" s="41">
        <f>COUNTIFS('Security Requirements - Android'!F36:F46,'Security Requirements - Android'!B80)</f>
        <v>0</v>
      </c>
      <c r="F46" s="41">
        <f>COUNTIFS('Security Requirements - Android'!F36:F46,'Security Requirements - Android'!B81)</f>
        <v>4</v>
      </c>
      <c r="G46" s="43">
        <f t="shared" si="0"/>
        <v>0</v>
      </c>
      <c r="H46" s="44">
        <f>COUNTIFS('Security Requirements - iOS'!F36:F46,'Security Requirements - Android'!B79)</f>
        <v>0</v>
      </c>
      <c r="I46" s="44">
        <f>COUNTIFS('Security Requirements - iOS'!F36:F46,'Security Requirements - Android'!B80)</f>
        <v>0</v>
      </c>
      <c r="J46" s="44">
        <f>COUNTIFS('Security Requirements - iOS'!F36:F46,'Security Requirements - Android'!B81)</f>
        <v>4</v>
      </c>
      <c r="K46" s="43">
        <f t="shared" si="1"/>
        <v>0</v>
      </c>
    </row>
    <row r="47" spans="3:11" x14ac:dyDescent="0.5">
      <c r="C47" s="40" t="s">
        <v>173</v>
      </c>
      <c r="D47" s="41">
        <f>COUNTIFS('Security Requirements - Android'!F48:F53,'Security Requirements - Android'!B79)</f>
        <v>0</v>
      </c>
      <c r="E47" s="41">
        <f>COUNTIFS('Security Requirements - Android'!F48:F53,'Security Requirements - Android'!B80)</f>
        <v>0</v>
      </c>
      <c r="F47" s="41">
        <f>COUNTIFS('Security Requirements - Android'!F48:F53,'Security Requirements - Android'!B81)</f>
        <v>3</v>
      </c>
      <c r="G47" s="43">
        <f t="shared" si="0"/>
        <v>0</v>
      </c>
      <c r="H47" s="44">
        <f>COUNTIFS('Security Requirements - iOS'!F48:F53,'Security Requirements - Android'!B79)</f>
        <v>0</v>
      </c>
      <c r="I47" s="44">
        <f>COUNTIFS('Security Requirements - iOS'!F48:F53,'Security Requirements - Android'!B80)</f>
        <v>0</v>
      </c>
      <c r="J47" s="44">
        <f>COUNTIFS('Security Requirements - iOS'!F48:F53,'Security Requirements - Android'!B81)</f>
        <v>3</v>
      </c>
      <c r="K47" s="43">
        <f t="shared" si="1"/>
        <v>0</v>
      </c>
    </row>
    <row r="48" spans="3:11" x14ac:dyDescent="0.5">
      <c r="C48" s="40" t="s">
        <v>174</v>
      </c>
      <c r="D48" s="41">
        <f>COUNTIFS('Security Requirements - Android'!F55:F62,'Security Requirements - Android'!B79)</f>
        <v>0</v>
      </c>
      <c r="E48" s="41">
        <f>COUNTIFS('Security Requirements - Android'!F55:F62,'Security Requirements - Android'!B80)</f>
        <v>0</v>
      </c>
      <c r="F48" s="41">
        <f>COUNTIFS('Security Requirements - Android'!F55:F62,'Security Requirements - Android'!B81)</f>
        <v>0</v>
      </c>
      <c r="G48" s="43">
        <f t="shared" si="0"/>
        <v>0</v>
      </c>
      <c r="H48" s="44">
        <f>COUNTIFS('Security Requirements - iOS'!F55:F62,'Security Requirements - Android'!B79)</f>
        <v>0</v>
      </c>
      <c r="I48" s="44">
        <f>COUNTIFS('Security Requirements - iOS'!F55:F62,'Security Requirements - Android'!B80)</f>
        <v>0</v>
      </c>
      <c r="J48" s="44">
        <f>COUNTIFS('Security Requirements - iOS'!F55:F62,'Security Requirements - Android'!B81)</f>
        <v>0</v>
      </c>
      <c r="K48" s="43">
        <f t="shared" si="1"/>
        <v>0</v>
      </c>
    </row>
    <row r="49" spans="3:11" x14ac:dyDescent="0.5">
      <c r="C49" s="40" t="s">
        <v>175</v>
      </c>
      <c r="D49" s="44">
        <f>COUNTIFS('Security Requirements - Android'!F64:F72,'Security Requirements - Android'!B79)</f>
        <v>0</v>
      </c>
      <c r="E49" s="44">
        <f>COUNTIFS('Security Requirements - Android'!F64:F72,'Security Requirements - Android'!B80)</f>
        <v>0</v>
      </c>
      <c r="F49" s="44">
        <f>COUNTIFS('Security Requirements - Android'!F64:F72,'Security Requirements - Android'!B81)</f>
        <v>0</v>
      </c>
      <c r="G49" s="43">
        <f t="shared" si="0"/>
        <v>0</v>
      </c>
      <c r="H49" s="44">
        <f>COUNTIFS('Security Requirements - iOS'!F64:F72,'Security Requirements - Android'!B79)</f>
        <v>0</v>
      </c>
      <c r="I49" s="44">
        <f>COUNTIFS('Security Requirements - iOS'!F64:F72,'Security Requirements - Android'!B80)</f>
        <v>0</v>
      </c>
      <c r="J49" s="44">
        <f>COUNTIFS('Security Requirements - iOS'!F64:F72,'Security Requirements - Android'!B81)</f>
        <v>0</v>
      </c>
      <c r="K49" s="43">
        <f t="shared" si="1"/>
        <v>0</v>
      </c>
    </row>
    <row r="50" spans="3:11" x14ac:dyDescent="0.5">
      <c r="C50" s="40" t="s">
        <v>176</v>
      </c>
      <c r="D50" s="41">
        <f>COUNTIFS('Anti-RE - Android'!E4:E18,'Security Requirements - Android'!B79)</f>
        <v>0</v>
      </c>
      <c r="E50" s="41">
        <f>COUNTIFS('Anti-RE - Android'!E4:E18,'Security Requirements - Android'!B80)</f>
        <v>0</v>
      </c>
      <c r="F50" s="41">
        <f>COUNTIFS('Anti-RE - Android'!E4:E18,'Security Requirements - Android'!B81)</f>
        <v>12</v>
      </c>
      <c r="G50" s="43">
        <f>IF(D50+E50=0, 0, D50/(E50+D50))</f>
        <v>0</v>
      </c>
      <c r="H50" s="44">
        <f>COUNTIFS('Anti-RE - iOS'!E4:E18,'Security Requirements - Android'!B79)</f>
        <v>0</v>
      </c>
      <c r="I50" s="44">
        <f>COUNTIFS('Anti-RE - iOS'!E4:E18,'Security Requirements - Android'!B80)</f>
        <v>0</v>
      </c>
      <c r="J50" s="44">
        <f>COUNTIFS('Anti-RE - iOS'!E4:E18,'Security Requirements - Android'!B81)</f>
        <v>12</v>
      </c>
      <c r="K50" s="43">
        <f>IF(H50+I50=0, 0, H50/(H50+I50))</f>
        <v>0</v>
      </c>
    </row>
  </sheetData>
  <mergeCells count="9">
    <mergeCell ref="B4:F4"/>
    <mergeCell ref="G8:I11"/>
    <mergeCell ref="G6:I6"/>
    <mergeCell ref="V6:X6"/>
    <mergeCell ref="V8:X11"/>
    <mergeCell ref="B12:F12"/>
    <mergeCell ref="B16:F16"/>
    <mergeCell ref="D41:G41"/>
    <mergeCell ref="H41:K41"/>
  </mergeCells>
  <phoneticPr fontId="12"/>
  <conditionalFormatting sqref="F14">
    <cfRule type="iconSet" priority="3">
      <iconSet>
        <cfvo type="percent" val="0"/>
        <cfvo type="num" val="0.4"/>
        <cfvo type="num" val="0.8"/>
      </iconSet>
    </cfRule>
  </conditionalFormatting>
  <conditionalFormatting sqref="F14">
    <cfRule type="expression" dxfId="1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0" priority="2">
      <formula>MOD(ROW(),2)=1</formula>
    </cfRule>
  </conditionalFormatting>
  <pageMargins left="0.70866141732283472" right="0.70866141732283472" top="0.74803149606299213" bottom="0.74803149606299213" header="0.31496062992125984" footer="0.31496062992125984"/>
  <pageSetup paperSize="9" scale="4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K85"/>
  <sheetViews>
    <sheetView showGridLines="0" zoomScaleNormal="100" zoomScalePageLayoutView="130" workbookViewId="0"/>
  </sheetViews>
  <sheetFormatPr defaultColWidth="10.9140625" defaultRowHeight="19.2" x14ac:dyDescent="0.55000000000000004"/>
  <cols>
    <col min="1" max="1" width="1.5" style="46" customWidth="1"/>
    <col min="2" max="2" width="7.9140625" style="47" customWidth="1"/>
    <col min="3" max="3" width="97.1640625" style="48" customWidth="1"/>
    <col min="4" max="5" width="6.58203125" style="46" customWidth="1"/>
    <col min="6" max="6" width="5.6640625" style="46" customWidth="1"/>
    <col min="7" max="7" width="60.1640625" style="48" customWidth="1"/>
    <col min="8" max="8" width="63.58203125" style="48" customWidth="1"/>
    <col min="9" max="9" width="30.6640625" style="48" customWidth="1"/>
    <col min="10" max="10" width="10.9140625" style="46"/>
    <col min="11" max="12" width="10.6640625" style="46" customWidth="1"/>
    <col min="13" max="16384" width="10.9140625" style="46"/>
  </cols>
  <sheetData>
    <row r="1" spans="2:9" ht="21.6" x14ac:dyDescent="0.55000000000000004">
      <c r="B1" s="152" t="s">
        <v>180</v>
      </c>
      <c r="C1" s="152"/>
      <c r="D1" s="152"/>
      <c r="E1" s="152"/>
      <c r="F1" s="152"/>
      <c r="G1" s="152"/>
      <c r="H1" s="152"/>
      <c r="I1" s="152"/>
    </row>
    <row r="3" spans="2:9" x14ac:dyDescent="0.55000000000000004">
      <c r="B3" s="49" t="s">
        <v>0</v>
      </c>
      <c r="C3" s="50" t="s">
        <v>181</v>
      </c>
      <c r="D3" s="51" t="s">
        <v>182</v>
      </c>
      <c r="E3" s="51" t="s">
        <v>183</v>
      </c>
      <c r="F3" s="51" t="s">
        <v>184</v>
      </c>
      <c r="G3" s="153" t="s">
        <v>185</v>
      </c>
      <c r="H3" s="153"/>
      <c r="I3" s="52" t="s">
        <v>186</v>
      </c>
    </row>
    <row r="4" spans="2:9" x14ac:dyDescent="0.55000000000000004">
      <c r="B4" s="53" t="s">
        <v>1</v>
      </c>
      <c r="C4" s="54" t="s">
        <v>187</v>
      </c>
      <c r="D4" s="55"/>
      <c r="E4" s="55"/>
      <c r="F4" s="55"/>
      <c r="G4" s="54"/>
      <c r="H4" s="54"/>
      <c r="I4" s="56"/>
    </row>
    <row r="5" spans="2:9" x14ac:dyDescent="0.55000000000000004">
      <c r="B5" s="108" t="s">
        <v>2</v>
      </c>
      <c r="C5" s="57" t="s">
        <v>188</v>
      </c>
      <c r="D5" s="58" t="s">
        <v>3</v>
      </c>
      <c r="E5" s="59" t="s">
        <v>3</v>
      </c>
      <c r="F5" s="60"/>
      <c r="G5" s="61" t="s">
        <v>79</v>
      </c>
      <c r="H5" s="61"/>
      <c r="I5" s="62"/>
    </row>
    <row r="6" spans="2:9" x14ac:dyDescent="0.55000000000000004">
      <c r="B6" s="108" t="s">
        <v>112</v>
      </c>
      <c r="C6" s="57" t="s">
        <v>189</v>
      </c>
      <c r="D6" s="58" t="s">
        <v>3</v>
      </c>
      <c r="E6" s="59" t="s">
        <v>3</v>
      </c>
      <c r="F6" s="60"/>
      <c r="G6" s="61" t="s">
        <v>79</v>
      </c>
      <c r="H6" s="61"/>
      <c r="I6" s="62"/>
    </row>
    <row r="7" spans="2:9" ht="34.799999999999997" x14ac:dyDescent="0.55000000000000004">
      <c r="B7" s="108" t="s">
        <v>111</v>
      </c>
      <c r="C7" s="57" t="s">
        <v>190</v>
      </c>
      <c r="D7" s="58" t="s">
        <v>3</v>
      </c>
      <c r="E7" s="59" t="s">
        <v>3</v>
      </c>
      <c r="F7" s="60"/>
      <c r="G7" s="61" t="s">
        <v>79</v>
      </c>
      <c r="H7" s="61"/>
      <c r="I7" s="62"/>
    </row>
    <row r="8" spans="2:9" x14ac:dyDescent="0.55000000000000004">
      <c r="B8" s="108" t="s">
        <v>110</v>
      </c>
      <c r="C8" s="57" t="s">
        <v>191</v>
      </c>
      <c r="D8" s="58" t="s">
        <v>3</v>
      </c>
      <c r="E8" s="59" t="s">
        <v>3</v>
      </c>
      <c r="F8" s="60"/>
      <c r="G8" s="61" t="s">
        <v>79</v>
      </c>
      <c r="H8" s="61"/>
      <c r="I8" s="62"/>
    </row>
    <row r="9" spans="2:9" x14ac:dyDescent="0.55000000000000004">
      <c r="B9" s="108" t="s">
        <v>109</v>
      </c>
      <c r="C9" s="57" t="s">
        <v>192</v>
      </c>
      <c r="D9" s="63"/>
      <c r="E9" s="59" t="s">
        <v>3</v>
      </c>
      <c r="F9" s="60" t="s">
        <v>64</v>
      </c>
      <c r="G9" s="61" t="s">
        <v>79</v>
      </c>
      <c r="H9" s="61"/>
      <c r="I9" s="62"/>
    </row>
    <row r="10" spans="2:9" x14ac:dyDescent="0.55000000000000004">
      <c r="B10" s="108" t="s">
        <v>108</v>
      </c>
      <c r="C10" s="57" t="s">
        <v>193</v>
      </c>
      <c r="D10" s="63"/>
      <c r="E10" s="59" t="s">
        <v>3</v>
      </c>
      <c r="F10" s="60" t="s">
        <v>64</v>
      </c>
      <c r="G10" s="61" t="s">
        <v>79</v>
      </c>
      <c r="H10" s="61"/>
      <c r="I10" s="62"/>
    </row>
    <row r="11" spans="2:9" x14ac:dyDescent="0.55000000000000004">
      <c r="B11" s="108" t="s">
        <v>4</v>
      </c>
      <c r="C11" s="57" t="s">
        <v>194</v>
      </c>
      <c r="D11" s="64"/>
      <c r="E11" s="59" t="s">
        <v>3</v>
      </c>
      <c r="F11" s="60" t="s">
        <v>64</v>
      </c>
      <c r="G11" s="61" t="s">
        <v>79</v>
      </c>
      <c r="H11" s="61"/>
      <c r="I11" s="62"/>
    </row>
    <row r="12" spans="2:9" ht="34.799999999999997" x14ac:dyDescent="0.55000000000000004">
      <c r="B12" s="108" t="s">
        <v>107</v>
      </c>
      <c r="C12" s="57" t="s">
        <v>195</v>
      </c>
      <c r="D12" s="63"/>
      <c r="E12" s="59" t="s">
        <v>3</v>
      </c>
      <c r="F12" s="60" t="s">
        <v>64</v>
      </c>
      <c r="G12" s="61" t="s">
        <v>79</v>
      </c>
      <c r="H12" s="61"/>
      <c r="I12" s="62"/>
    </row>
    <row r="13" spans="2:9" x14ac:dyDescent="0.55000000000000004">
      <c r="B13" s="108" t="s">
        <v>106</v>
      </c>
      <c r="C13" s="57" t="s">
        <v>196</v>
      </c>
      <c r="D13" s="63"/>
      <c r="E13" s="59" t="s">
        <v>3</v>
      </c>
      <c r="F13" s="60" t="s">
        <v>64</v>
      </c>
      <c r="G13" s="61" t="s">
        <v>79</v>
      </c>
      <c r="H13" s="61"/>
      <c r="I13" s="62"/>
    </row>
    <row r="14" spans="2:9" x14ac:dyDescent="0.55000000000000004">
      <c r="B14" s="109" t="s">
        <v>5</v>
      </c>
      <c r="C14" s="57" t="s">
        <v>197</v>
      </c>
      <c r="D14" s="63"/>
      <c r="E14" s="59" t="s">
        <v>3</v>
      </c>
      <c r="F14" s="60" t="s">
        <v>64</v>
      </c>
      <c r="G14" s="61" t="s">
        <v>79</v>
      </c>
      <c r="H14" s="61"/>
      <c r="I14" s="62"/>
    </row>
    <row r="15" spans="2:9" x14ac:dyDescent="0.55000000000000004">
      <c r="B15" s="65" t="s">
        <v>6</v>
      </c>
      <c r="C15" s="66" t="s">
        <v>198</v>
      </c>
      <c r="D15" s="67"/>
      <c r="E15" s="68"/>
      <c r="F15" s="67"/>
      <c r="G15" s="66"/>
      <c r="H15" s="66"/>
      <c r="I15" s="69"/>
    </row>
    <row r="16" spans="2:9" ht="34.799999999999997" x14ac:dyDescent="0.55000000000000004">
      <c r="B16" s="108" t="s">
        <v>7</v>
      </c>
      <c r="C16" s="57" t="s">
        <v>199</v>
      </c>
      <c r="D16" s="58" t="s">
        <v>3</v>
      </c>
      <c r="E16" s="59" t="s">
        <v>3</v>
      </c>
      <c r="F16" s="60"/>
      <c r="G16" s="70" t="str">
        <f>HYPERLINK(CONCATENATE(
BASE_URL,
"0x05d-Testing-Data-Storage.md#testing-local-storage-for-sensitive-data"),
"Testing For Sensitive Data in Local Data Storage")</f>
        <v>Testing For Sensitive Data in Local Data Storage</v>
      </c>
      <c r="H16" s="70"/>
      <c r="I16" s="62"/>
    </row>
    <row r="17" spans="2:9" x14ac:dyDescent="0.55000000000000004">
      <c r="B17" s="108" t="s">
        <v>39</v>
      </c>
      <c r="C17" s="57" t="s">
        <v>200</v>
      </c>
      <c r="D17" s="58"/>
      <c r="E17" s="59"/>
      <c r="F17" s="60"/>
      <c r="G17" s="71" t="str">
        <f>HYPERLINK(CONCATENATE(
BASE_URL,
"0x05d-Testing-Data-Storage.md#testing-local-storage-for-sensitive-data"),
"Testing For Sensitive Data in Local Data Storage")</f>
        <v>Testing For Sensitive Data in Local Data Storage</v>
      </c>
      <c r="H17" s="71"/>
      <c r="I17" s="72"/>
    </row>
    <row r="18" spans="2:9" x14ac:dyDescent="0.55000000000000004">
      <c r="B18" s="108" t="s">
        <v>40</v>
      </c>
      <c r="C18" s="57" t="s">
        <v>201</v>
      </c>
      <c r="D18" s="58" t="s">
        <v>3</v>
      </c>
      <c r="E18" s="59" t="s">
        <v>3</v>
      </c>
      <c r="F18" s="60"/>
      <c r="G18" s="70" t="str">
        <f>HYPERLINK(CONCATENATE(
BASE_URL,
"0x05d-Testing-Data-Storage.md#testing-logs-for-sensitive-data"),
"Testing For Sensitive Data in Logs")</f>
        <v>Testing For Sensitive Data in Logs</v>
      </c>
      <c r="H18" s="70"/>
      <c r="I18" s="62"/>
    </row>
    <row r="19" spans="2:9" x14ac:dyDescent="0.55000000000000004">
      <c r="B19" s="108" t="s">
        <v>8</v>
      </c>
      <c r="C19" s="57" t="s">
        <v>202</v>
      </c>
      <c r="D19" s="58" t="s">
        <v>3</v>
      </c>
      <c r="E19" s="59" t="s">
        <v>3</v>
      </c>
      <c r="F19" s="60"/>
      <c r="G19" s="70" t="str">
        <f>HYPERLINK(CONCATENATE(
BASE_URL,
"0x05d-Testing-Data-Storage.md#determining-whether-sensitive-data-is-sent-to-third-parties"),
"Testing Whether Sensitive Data Is Sent To Third Parties")</f>
        <v>Testing Whether Sensitive Data Is Sent To Third Parties</v>
      </c>
      <c r="H19" s="70"/>
      <c r="I19" s="62"/>
    </row>
    <row r="20" spans="2:9" x14ac:dyDescent="0.55000000000000004">
      <c r="B20" s="108" t="s">
        <v>41</v>
      </c>
      <c r="C20" s="57" t="s">
        <v>203</v>
      </c>
      <c r="D20" s="58" t="s">
        <v>3</v>
      </c>
      <c r="E20" s="59" t="s">
        <v>3</v>
      </c>
      <c r="F20" s="60"/>
      <c r="G20" s="70" t="str">
        <f>HYPERLINK(CONCATENATE(
BASE_URL,
"0x05d-Testing-Data-Storage.md#determining-whether-the-keyboard-cache-is-disabled-for-text-input-fields"),
"Testing Whether the Keyboard Cache Is Disabled for Text Input Fields")</f>
        <v>Testing Whether the Keyboard Cache Is Disabled for Text Input Fields</v>
      </c>
      <c r="H20" s="70"/>
      <c r="I20" s="62"/>
    </row>
    <row r="21" spans="2:9" x14ac:dyDescent="0.55000000000000004">
      <c r="B21" s="108" t="s">
        <v>9</v>
      </c>
      <c r="C21" s="57" t="s">
        <v>204</v>
      </c>
      <c r="D21" s="58" t="s">
        <v>3</v>
      </c>
      <c r="E21" s="59" t="s">
        <v>3</v>
      </c>
      <c r="F21" s="60"/>
      <c r="G21" s="70" t="str">
        <f>HYPERLINK(CONCATENATE(
BASE_URL,
"0x05d-Testing-Data-Storage.md#determining-whether-sensitive-stored-data-has-been-exposed-via-ipc-mechanisms"),
"Testing Whether Sensitive Data Is Exposed via IPC Mechanisms")</f>
        <v>Testing Whether Sensitive Data Is Exposed via IPC Mechanisms</v>
      </c>
      <c r="H21" s="70"/>
      <c r="I21" s="62"/>
    </row>
    <row r="22" spans="2:9" x14ac:dyDescent="0.55000000000000004">
      <c r="B22" s="108" t="s">
        <v>10</v>
      </c>
      <c r="C22" s="57" t="s">
        <v>205</v>
      </c>
      <c r="D22" s="58" t="s">
        <v>3</v>
      </c>
      <c r="E22" s="59" t="s">
        <v>3</v>
      </c>
      <c r="F22" s="60"/>
      <c r="G22" s="70" t="str">
        <f>HYPERLINK(CONCATENATE(
BASE_URL,
"0x05d-Testing-Data-Storage.md#checking-for-sensitive-data-disclosure-through-the-user-interface"),
"Testing for Sensitive Data Disclosure Through the User Interface")</f>
        <v>Testing for Sensitive Data Disclosure Through the User Interface</v>
      </c>
      <c r="H22" s="70"/>
      <c r="I22" s="62"/>
    </row>
    <row r="23" spans="2:9" x14ac:dyDescent="0.55000000000000004">
      <c r="B23" s="108" t="s">
        <v>11</v>
      </c>
      <c r="C23" s="57" t="s">
        <v>206</v>
      </c>
      <c r="D23" s="73"/>
      <c r="E23" s="59" t="s">
        <v>3</v>
      </c>
      <c r="F23" s="60" t="s">
        <v>64</v>
      </c>
      <c r="G23" s="70" t="str">
        <f>HYPERLINK(CONCATENATE(
BASE_URL,
"0x05d-Testing-Data-Storage.md#testing-backups-for-sensitive-data"),
"Testing for Sensitive Data in Backups")</f>
        <v>Testing for Sensitive Data in Backups</v>
      </c>
      <c r="H23" s="70"/>
      <c r="I23" s="62"/>
    </row>
    <row r="24" spans="2:9" x14ac:dyDescent="0.55000000000000004">
      <c r="B24" s="108" t="s">
        <v>12</v>
      </c>
      <c r="C24" s="57" t="s">
        <v>207</v>
      </c>
      <c r="D24" s="73"/>
      <c r="E24" s="59" t="s">
        <v>3</v>
      </c>
      <c r="F24" s="60" t="s">
        <v>64</v>
      </c>
      <c r="G24" s="70" t="str">
        <f>HYPERLINK(CONCATENATE(
BASE_URL,
"0x05d-Testing-Data-Storage.md#finding-sensitive-information-in-auto-generated-screenshots"),
"Testing for Sensitive Information in Auto-Generated Screenshots")</f>
        <v>Testing for Sensitive Information in Auto-Generated Screenshots</v>
      </c>
      <c r="H24" s="70"/>
      <c r="I24" s="62"/>
    </row>
    <row r="25" spans="2:9" x14ac:dyDescent="0.55000000000000004">
      <c r="B25" s="108" t="s">
        <v>42</v>
      </c>
      <c r="C25" s="57" t="s">
        <v>208</v>
      </c>
      <c r="D25" s="73"/>
      <c r="E25" s="59" t="s">
        <v>3</v>
      </c>
      <c r="F25" s="60" t="s">
        <v>64</v>
      </c>
      <c r="G25" s="70" t="str">
        <f>HYPERLINK(CONCATENATE(
BASE_URL,
"0x05d-Testing-Data-Storage.md#checking-memory-for-sensitive-data"),
"Testing for Sensitive Data in Memory")</f>
        <v>Testing for Sensitive Data in Memory</v>
      </c>
      <c r="H25" s="70"/>
      <c r="I25" s="62"/>
    </row>
    <row r="26" spans="2:9" ht="34.799999999999997" x14ac:dyDescent="0.55000000000000004">
      <c r="B26" s="108" t="s">
        <v>43</v>
      </c>
      <c r="C26" s="57" t="s">
        <v>209</v>
      </c>
      <c r="D26" s="73"/>
      <c r="E26" s="59" t="s">
        <v>3</v>
      </c>
      <c r="F26" s="60" t="s">
        <v>64</v>
      </c>
      <c r="G26" s="70" t="str">
        <f>HYPERLINK(CONCATENATE(
BASE_URL,
"0x05d-Testing-Data-Storage.md#testing-the-device-access-security-policy"),
"Testing the Device-Access-Security Policy")</f>
        <v>Testing the Device-Access-Security Policy</v>
      </c>
      <c r="H26" s="70"/>
      <c r="I26" s="62"/>
    </row>
    <row r="27" spans="2:9" ht="34.799999999999997" x14ac:dyDescent="0.55000000000000004">
      <c r="B27" s="108" t="s">
        <v>13</v>
      </c>
      <c r="C27" s="57" t="s">
        <v>210</v>
      </c>
      <c r="D27" s="73"/>
      <c r="E27" s="59" t="s">
        <v>3</v>
      </c>
      <c r="F27" s="60" t="s">
        <v>64</v>
      </c>
      <c r="G27" s="70" t="str">
        <f>HYPERLINK(CONCATENATE(
BASE_URL,
"0x04i-Testing-user-interaction.md#testing-user-education"),
"Testing user education")</f>
        <v>Testing user education</v>
      </c>
      <c r="H27" s="70"/>
      <c r="I27" s="62"/>
    </row>
    <row r="28" spans="2:9" x14ac:dyDescent="0.55000000000000004">
      <c r="B28" s="65" t="s">
        <v>14</v>
      </c>
      <c r="C28" s="66" t="s">
        <v>212</v>
      </c>
      <c r="D28" s="67"/>
      <c r="E28" s="68"/>
      <c r="F28" s="67"/>
      <c r="G28" s="66"/>
      <c r="H28" s="66"/>
      <c r="I28" s="69"/>
    </row>
    <row r="29" spans="2:9" x14ac:dyDescent="0.55000000000000004">
      <c r="B29" s="108" t="s">
        <v>15</v>
      </c>
      <c r="C29" s="57" t="s">
        <v>213</v>
      </c>
      <c r="D29" s="58" t="s">
        <v>3</v>
      </c>
      <c r="E29" s="59" t="s">
        <v>3</v>
      </c>
      <c r="F29" s="60"/>
      <c r="G29" s="70" t="str">
        <f>HYPERLINK(CONCATENATE(
BASE_URL,
"0x05e-Testing-Cryptography.md#testing-key-management"),
"Verifying Key Management")</f>
        <v>Verifying Key Management</v>
      </c>
      <c r="H29" s="70"/>
      <c r="I29" s="62"/>
    </row>
    <row r="30" spans="2:9" x14ac:dyDescent="0.55000000000000004">
      <c r="B30" s="108" t="s">
        <v>16</v>
      </c>
      <c r="C30" s="57" t="s">
        <v>214</v>
      </c>
      <c r="D30" s="58" t="s">
        <v>3</v>
      </c>
      <c r="E30" s="59" t="s">
        <v>3</v>
      </c>
      <c r="F30" s="60"/>
      <c r="G30" s="70" t="str">
        <f>HYPERLINK(CONCATENATE(
BASE_URL,
"0x04g-Testing-Cryptography.md#cryptography-for-mobile-apps"),
"Testing for Custom Implementations of Cryptography")</f>
        <v>Testing for Custom Implementations of Cryptography</v>
      </c>
      <c r="H30" s="70"/>
      <c r="I30" s="62"/>
    </row>
    <row r="31" spans="2:9" ht="34.799999999999997" x14ac:dyDescent="0.55000000000000004">
      <c r="B31" s="108" t="s">
        <v>17</v>
      </c>
      <c r="C31" s="57" t="s">
        <v>215</v>
      </c>
      <c r="D31" s="58" t="s">
        <v>3</v>
      </c>
      <c r="E31" s="59" t="s">
        <v>3</v>
      </c>
      <c r="F31" s="60"/>
      <c r="G31" s="70" t="str">
        <f>HYPERLINK(CONCATENATE(
BASE_URL,
"0x05e-Testing-Cryptography.md#verifying-the-configuration-of-cryptographic-standard-algorithms"),
"Verifying the Configuration of Cryptographic Standard Algorithms")</f>
        <v>Verifying the Configuration of Cryptographic Standard Algorithms</v>
      </c>
      <c r="H31" s="70"/>
      <c r="I31" s="62"/>
    </row>
    <row r="32" spans="2:9" x14ac:dyDescent="0.55000000000000004">
      <c r="B32" s="108" t="s">
        <v>18</v>
      </c>
      <c r="C32" s="57" t="s">
        <v>216</v>
      </c>
      <c r="D32" s="58" t="s">
        <v>3</v>
      </c>
      <c r="E32" s="59" t="s">
        <v>3</v>
      </c>
      <c r="F32" s="60"/>
      <c r="G32" s="70" t="str">
        <f>HYPERLINK(CONCATENATE(
BASE_URL,
"0x04g-Testing-Cryptography.md#identifying-insecure-andor-deprecated-cryptographic-algorithms"),
"Testing for Insecure and/or Deprecated Cryptographic Algorithms")</f>
        <v>Testing for Insecure and/or Deprecated Cryptographic Algorithms</v>
      </c>
      <c r="H32" s="70"/>
      <c r="I32" s="62"/>
    </row>
    <row r="33" spans="2:11" x14ac:dyDescent="0.55000000000000004">
      <c r="B33" s="108" t="s">
        <v>19</v>
      </c>
      <c r="C33" s="57" t="s">
        <v>217</v>
      </c>
      <c r="D33" s="58" t="s">
        <v>3</v>
      </c>
      <c r="E33" s="59" t="s">
        <v>3</v>
      </c>
      <c r="F33" s="60"/>
      <c r="G33" s="70" t="str">
        <f>HYPERLINK(CONCATENATE(
BASE_URL,
"0x05e-Testing-Cryptography.md#testing-key-management"),
"Verifying Key Management")</f>
        <v>Verifying Key Management</v>
      </c>
      <c r="H33" s="70"/>
      <c r="I33" s="62"/>
    </row>
    <row r="34" spans="2:11" x14ac:dyDescent="0.55000000000000004">
      <c r="B34" s="108" t="s">
        <v>20</v>
      </c>
      <c r="C34" s="57" t="s">
        <v>218</v>
      </c>
      <c r="D34" s="58" t="s">
        <v>3</v>
      </c>
      <c r="E34" s="59" t="s">
        <v>3</v>
      </c>
      <c r="F34" s="60"/>
      <c r="G34" s="70" t="str">
        <f>HYPERLINK(CONCATENATE(
BASE_URL,
"0x05e-Testing-Cryptography.md#testing-random-number-generation"),
"Testing Random Number Generation")</f>
        <v>Testing Random Number Generation</v>
      </c>
      <c r="H34" s="70"/>
      <c r="I34" s="62"/>
    </row>
    <row r="35" spans="2:11" x14ac:dyDescent="0.55000000000000004">
      <c r="B35" s="65" t="s">
        <v>21</v>
      </c>
      <c r="C35" s="66" t="s">
        <v>219</v>
      </c>
      <c r="D35" s="67"/>
      <c r="E35" s="68"/>
      <c r="F35" s="67"/>
      <c r="G35" s="66"/>
      <c r="H35" s="66"/>
      <c r="I35" s="69"/>
    </row>
    <row r="36" spans="2:11" ht="34.799999999999997" x14ac:dyDescent="0.55000000000000004">
      <c r="B36" s="108" t="s">
        <v>22</v>
      </c>
      <c r="C36" s="74" t="s">
        <v>220</v>
      </c>
      <c r="D36" s="58" t="s">
        <v>3</v>
      </c>
      <c r="E36" s="59" t="s">
        <v>3</v>
      </c>
      <c r="F36" s="60"/>
      <c r="G36" s="70" t="str">
        <f>HYPERLINK(CONCATENATE(
BASE_URL,
"0x04e-Testing-Authentication-and-Session-Management.md#testing-authentication"),
"Verifying that Users Are Properly Authenticated")</f>
        <v>Verifying that Users Are Properly Authenticated</v>
      </c>
      <c r="H36" s="70"/>
      <c r="I36" s="62"/>
    </row>
    <row r="37" spans="2:11" ht="34.799999999999997" x14ac:dyDescent="0.55000000000000004">
      <c r="B37" s="108" t="s">
        <v>44</v>
      </c>
      <c r="C37" s="74" t="s">
        <v>221</v>
      </c>
      <c r="D37" s="58" t="s">
        <v>3</v>
      </c>
      <c r="E37" s="59" t="s">
        <v>3</v>
      </c>
      <c r="F37" s="60"/>
      <c r="G37" s="70" t="str">
        <f>HYPERLINK(CONCATENATE(
BASE_URL,
"0x04e-Testing-Authentication-and-Session-Management.md#testing-stateful-session-management"),
"Testing Stateful Session Management")</f>
        <v>Testing Stateful Session Management</v>
      </c>
      <c r="H37" s="70"/>
      <c r="I37" s="62"/>
    </row>
    <row r="38" spans="2:11" ht="34.799999999999997" x14ac:dyDescent="0.55000000000000004">
      <c r="B38" s="108" t="s">
        <v>45</v>
      </c>
      <c r="C38" s="74" t="s">
        <v>222</v>
      </c>
      <c r="D38" s="58" t="s">
        <v>3</v>
      </c>
      <c r="E38" s="59" t="s">
        <v>3</v>
      </c>
      <c r="F38" s="60"/>
      <c r="G38" s="70" t="str">
        <f>HYPERLINK(CONCATENATE(
BASE_URL,
"0x04e-Testing-Authentication-and-Session-Management.md#testing-stateless-token-based-authentication"),
"Testing Stateless Authentication")</f>
        <v>Testing Stateless Authentication</v>
      </c>
      <c r="H38" s="70"/>
      <c r="I38" s="62"/>
      <c r="K38" s="75"/>
    </row>
    <row r="39" spans="2:11" x14ac:dyDescent="0.55000000000000004">
      <c r="B39" s="108" t="s">
        <v>23</v>
      </c>
      <c r="C39" s="74" t="s">
        <v>223</v>
      </c>
      <c r="D39" s="58"/>
      <c r="E39" s="59"/>
      <c r="F39" s="60"/>
      <c r="G39" s="70" t="str">
        <f>HYPERLINK(CONCATENATE(
BASE_URL,
"0x04e-Testing-Authentication-and-Session-Management.md#user-logout-and-session-timeouts"),
"Testing the Logout Functionality")</f>
        <v>Testing the Logout Functionality</v>
      </c>
      <c r="H39" s="70"/>
      <c r="I39" s="62"/>
      <c r="K39" s="75"/>
    </row>
    <row r="40" spans="2:11" x14ac:dyDescent="0.55000000000000004">
      <c r="B40" s="108" t="s">
        <v>24</v>
      </c>
      <c r="C40" s="74" t="s">
        <v>224</v>
      </c>
      <c r="D40" s="58" t="s">
        <v>3</v>
      </c>
      <c r="E40" s="59" t="s">
        <v>3</v>
      </c>
      <c r="F40" s="60"/>
      <c r="G40" s="70" t="str">
        <f>HYPERLINK(CONCATENATE(
BASE_URL,
"0x04e-Testing-Authentication-and-Session-Management.md#best-practices-for-passwords"),
"Testing the Password Policy")</f>
        <v>Testing the Password Policy</v>
      </c>
      <c r="H40" s="70"/>
      <c r="I40" s="62"/>
    </row>
    <row r="41" spans="2:11" x14ac:dyDescent="0.55000000000000004">
      <c r="B41" s="108" t="s">
        <v>46</v>
      </c>
      <c r="C41" s="74" t="s">
        <v>225</v>
      </c>
      <c r="D41" s="58" t="s">
        <v>3</v>
      </c>
      <c r="E41" s="59" t="s">
        <v>3</v>
      </c>
      <c r="F41" s="60"/>
      <c r="G41" s="70" t="str">
        <f>HYPERLINK(CONCATENATE(
BASE_URL,
"0x04e-Testing-Authentication-and-Session-Management.md#running-a-password-dictionary-attack"),
"Testing Excessive Login Attempts")</f>
        <v>Testing Excessive Login Attempts</v>
      </c>
      <c r="H41" s="70"/>
      <c r="I41" s="62"/>
    </row>
    <row r="42" spans="2:11" ht="34.799999999999997" x14ac:dyDescent="0.55000000000000004">
      <c r="B42" s="108" t="s">
        <v>47</v>
      </c>
      <c r="C42" s="74" t="s">
        <v>226</v>
      </c>
      <c r="D42" s="58" t="s">
        <v>3</v>
      </c>
      <c r="E42" s="59" t="s">
        <v>3</v>
      </c>
      <c r="F42" s="60"/>
      <c r="G42" s="70" t="str">
        <f>HYPERLINK(CONCATENATE(
BASE_URL,
"0x04e-Testing-Authentication-and-Session-Management.md#session-timeout"),
"Testing the Session Timeout")</f>
        <v>Testing the Session Timeout</v>
      </c>
      <c r="H42" s="70"/>
      <c r="I42" s="76"/>
    </row>
    <row r="43" spans="2:11" ht="34.799999999999997" x14ac:dyDescent="0.55000000000000004">
      <c r="B43" s="108" t="s">
        <v>25</v>
      </c>
      <c r="C43" s="74" t="s">
        <v>227</v>
      </c>
      <c r="D43" s="73"/>
      <c r="E43" s="59" t="s">
        <v>3</v>
      </c>
      <c r="F43" s="60" t="s">
        <v>64</v>
      </c>
      <c r="G43" s="70" t="str">
        <f>HYPERLINK(CONCATENATE(
BASE_URL,
"0x05f-Testing-Local-Authentication.md#testing-biometric-authentication"),
"Testing Biometric Authentication")</f>
        <v>Testing Biometric Authentication</v>
      </c>
      <c r="H43" s="70"/>
      <c r="I43" s="62"/>
    </row>
    <row r="44" spans="2:11" x14ac:dyDescent="0.55000000000000004">
      <c r="B44" s="108" t="s">
        <v>26</v>
      </c>
      <c r="C44" s="74" t="s">
        <v>228</v>
      </c>
      <c r="D44" s="73"/>
      <c r="E44" s="59" t="s">
        <v>3</v>
      </c>
      <c r="F44" s="60" t="s">
        <v>64</v>
      </c>
      <c r="G44" s="70" t="str">
        <f>HYPERLINK(CONCATENATE(
BASE_URL,
"0x04e-Testing-Authentication-and-Session-Management.md#verifying-that-2fa-is-enforced"),
"Testing 2-Factor Authentication")</f>
        <v>Testing 2-Factor Authentication</v>
      </c>
      <c r="H44" s="70"/>
      <c r="I44" s="62"/>
    </row>
    <row r="45" spans="2:11" x14ac:dyDescent="0.55000000000000004">
      <c r="B45" s="108" t="s">
        <v>27</v>
      </c>
      <c r="C45" s="74" t="s">
        <v>231</v>
      </c>
      <c r="D45" s="73"/>
      <c r="E45" s="59" t="s">
        <v>3</v>
      </c>
      <c r="F45" s="60" t="s">
        <v>64</v>
      </c>
      <c r="G45" s="70" t="str">
        <f>HYPERLINK(CONCATENATE(
BASE_URL,
"0x04e-Testing-Authentication-and-Session-Management.md#2-factor-authentication-and-step-up-authentication"),
"Testing Step-up Authentication")</f>
        <v>Testing Step-up Authentication</v>
      </c>
      <c r="H45" s="70"/>
      <c r="I45" s="62"/>
    </row>
    <row r="46" spans="2:11" ht="34.799999999999997" x14ac:dyDescent="0.55000000000000004">
      <c r="B46" s="108" t="s">
        <v>91</v>
      </c>
      <c r="C46" s="74" t="s">
        <v>230</v>
      </c>
      <c r="D46" s="73"/>
      <c r="E46" s="59" t="s">
        <v>3</v>
      </c>
      <c r="F46" s="60" t="s">
        <v>64</v>
      </c>
      <c r="G46" s="70" t="str">
        <f>HYPERLINK(
CONCATENATE(
BASE_URL,
"0x04e-Testing-Authentication-and-Session-Management.md#login-activity-and-device-blocking"),
"Testing Login Activity and Device Blocking")</f>
        <v>Testing Login Activity and Device Blocking</v>
      </c>
      <c r="H46" s="70"/>
      <c r="I46" s="62"/>
    </row>
    <row r="47" spans="2:11" x14ac:dyDescent="0.55000000000000004">
      <c r="B47" s="65" t="s">
        <v>28</v>
      </c>
      <c r="C47" s="66" t="s">
        <v>232</v>
      </c>
      <c r="D47" s="67"/>
      <c r="E47" s="68"/>
      <c r="F47" s="67"/>
      <c r="G47" s="66"/>
      <c r="H47" s="66"/>
      <c r="I47" s="69"/>
    </row>
    <row r="48" spans="2:11" ht="34.799999999999997" x14ac:dyDescent="0.55000000000000004">
      <c r="B48" s="108" t="s">
        <v>29</v>
      </c>
      <c r="C48" s="74" t="s">
        <v>233</v>
      </c>
      <c r="D48" s="58" t="s">
        <v>3</v>
      </c>
      <c r="E48" s="59" t="s">
        <v>3</v>
      </c>
      <c r="F48" s="60"/>
      <c r="G48" s="70" t="str">
        <f>HYPERLINK(CONCATENATE(
BASE_URL,
"0x04f-Testing-Network-Communication.md#verifying-data-encryption-on-the-network"),
"Testing for Unencrypted Sensitive Data on the Network")</f>
        <v>Testing for Unencrypted Sensitive Data on the Network</v>
      </c>
      <c r="H48" s="70"/>
      <c r="I48" s="62"/>
    </row>
    <row r="49" spans="2:9" ht="34.799999999999997" x14ac:dyDescent="0.55000000000000004">
      <c r="B49" s="108" t="s">
        <v>48</v>
      </c>
      <c r="C49" s="74" t="s">
        <v>234</v>
      </c>
      <c r="D49" s="58" t="s">
        <v>3</v>
      </c>
      <c r="E49" s="59" t="s">
        <v>3</v>
      </c>
      <c r="F49" s="60"/>
      <c r="G49" s="70" t="str">
        <f>HYPERLINK(CONCATENATE(
BASE_URL,
"0x04f-Testing-Network-Communication.md#recommended-tls-settings"),
"Verifying the TLS Settings")</f>
        <v>Verifying the TLS Settings</v>
      </c>
      <c r="H49" s="70"/>
      <c r="I49" s="62"/>
    </row>
    <row r="50" spans="2:9" ht="34.799999999999997" x14ac:dyDescent="0.55000000000000004">
      <c r="B50" s="108" t="s">
        <v>30</v>
      </c>
      <c r="C50" s="74" t="s">
        <v>235</v>
      </c>
      <c r="D50" s="58" t="s">
        <v>3</v>
      </c>
      <c r="E50" s="59" t="s">
        <v>3</v>
      </c>
      <c r="F50" s="60"/>
      <c r="G50" s="70" t="str">
        <f>HYPERLINK(CONCATENATE(
BASE_URL,
"0x05g-Testing-Network-Communication.md#testing-endpoint-identify-verification"),
"Testing Endpoint Identify Verification")</f>
        <v>Testing Endpoint Identify Verification</v>
      </c>
      <c r="H50" s="77"/>
      <c r="I50" s="78"/>
    </row>
    <row r="51" spans="2:9" ht="34.799999999999997" x14ac:dyDescent="0.55000000000000004">
      <c r="B51" s="108" t="s">
        <v>49</v>
      </c>
      <c r="C51" s="74" t="s">
        <v>236</v>
      </c>
      <c r="D51" s="73"/>
      <c r="E51" s="59" t="s">
        <v>3</v>
      </c>
      <c r="F51" s="60" t="s">
        <v>64</v>
      </c>
      <c r="G51" s="70" t="str">
        <f>HYPERLINK(CONCATENATE(
BASE_URL,
"0x05g-Testing-Network-Communication.md#testing-custom-certificate-stores-and-certificate-pinning"),
"Testing Custom Certificate Stores and SSL Pinning")</f>
        <v>Testing Custom Certificate Stores and SSL Pinning</v>
      </c>
      <c r="H51" s="70"/>
      <c r="I51" s="62"/>
    </row>
    <row r="52" spans="2:9" ht="34.799999999999997" x14ac:dyDescent="0.55000000000000004">
      <c r="B52" s="108" t="s">
        <v>31</v>
      </c>
      <c r="C52" s="74" t="s">
        <v>237</v>
      </c>
      <c r="D52" s="73"/>
      <c r="E52" s="59" t="s">
        <v>3</v>
      </c>
      <c r="F52" s="60" t="s">
        <v>64</v>
      </c>
      <c r="G52" s="70"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70"/>
      <c r="I52" s="62"/>
    </row>
    <row r="53" spans="2:9" x14ac:dyDescent="0.55000000000000004">
      <c r="B53" s="108" t="s">
        <v>105</v>
      </c>
      <c r="C53" s="74" t="s">
        <v>238</v>
      </c>
      <c r="D53" s="73"/>
      <c r="E53" s="59" t="s">
        <v>3</v>
      </c>
      <c r="F53" s="60" t="s">
        <v>64</v>
      </c>
      <c r="G53" s="70" t="str">
        <f>HYPERLINK(CONCATENATE(
BASE_URL,
"0x05g-Testing-Network-Communication.md#testing-the-security-provider"),
"Verifying the Security Provider")</f>
        <v>Verifying the Security Provider</v>
      </c>
      <c r="H53" s="70"/>
      <c r="I53" s="62"/>
    </row>
    <row r="54" spans="2:9" x14ac:dyDescent="0.55000000000000004">
      <c r="B54" s="65" t="s">
        <v>32</v>
      </c>
      <c r="C54" s="66" t="s">
        <v>239</v>
      </c>
      <c r="D54" s="67"/>
      <c r="E54" s="68"/>
      <c r="F54" s="67"/>
      <c r="G54" s="66"/>
      <c r="H54" s="66"/>
      <c r="I54" s="69"/>
    </row>
    <row r="55" spans="2:9" x14ac:dyDescent="0.55000000000000004">
      <c r="B55" s="108" t="s">
        <v>50</v>
      </c>
      <c r="C55" s="74" t="s">
        <v>240</v>
      </c>
      <c r="D55" s="58" t="s">
        <v>3</v>
      </c>
      <c r="E55" s="59" t="s">
        <v>3</v>
      </c>
      <c r="F55" s="60"/>
      <c r="G55" s="70" t="str">
        <f>HYPERLINK(CONCATENATE(
BASE_URL,
"0x05h-Testing-Platform-Interaction.md#testing-app-permissions"),
"Testing App Permissions")</f>
        <v>Testing App Permissions</v>
      </c>
      <c r="H55" s="70"/>
      <c r="I55" s="62"/>
    </row>
    <row r="56" spans="2:9" ht="34.799999999999997" x14ac:dyDescent="0.55000000000000004">
      <c r="B56" s="108" t="s">
        <v>51</v>
      </c>
      <c r="C56" s="74" t="s">
        <v>241</v>
      </c>
      <c r="D56" s="58" t="s">
        <v>3</v>
      </c>
      <c r="E56" s="59" t="s">
        <v>3</v>
      </c>
      <c r="F56" s="60"/>
      <c r="G56" s="70" t="str">
        <f>HYPERLINK(CONCATENATE(
BASE_URL,
"0x04h-Testing-Code-Quality.md#injection-flaws"),
"Testing Input Validation and Sanitization")</f>
        <v>Testing Input Validation and Sanitization</v>
      </c>
      <c r="H56" s="70"/>
      <c r="I56" s="62"/>
    </row>
    <row r="57" spans="2:9" x14ac:dyDescent="0.55000000000000004">
      <c r="B57" s="108" t="s">
        <v>52</v>
      </c>
      <c r="C57" s="74" t="s">
        <v>242</v>
      </c>
      <c r="D57" s="58" t="s">
        <v>3</v>
      </c>
      <c r="E57" s="59" t="s">
        <v>3</v>
      </c>
      <c r="F57" s="60"/>
      <c r="G57" s="70" t="str">
        <f>HYPERLINK(CONCATENATE(
BASE_URL,
"0x05h-Testing-Platform-Interaction.md#testing-custom-url-schemes"),
"Testing Custom URL Schemes")</f>
        <v>Testing Custom URL Schemes</v>
      </c>
      <c r="H57" s="70"/>
      <c r="I57" s="62"/>
    </row>
    <row r="58" spans="2:9" x14ac:dyDescent="0.55000000000000004">
      <c r="B58" s="108" t="s">
        <v>53</v>
      </c>
      <c r="C58" s="74" t="s">
        <v>243</v>
      </c>
      <c r="D58" s="58" t="s">
        <v>3</v>
      </c>
      <c r="E58" s="59" t="s">
        <v>3</v>
      </c>
      <c r="F58" s="60"/>
      <c r="G58" s="70" t="str">
        <f>HYPERLINK(CONCATENATE(
BASE_URL,
"0x05h-Testing-Platform-Interaction.md#testing-for-sensitive-functionality-exposure-through-ipc"),
"Testing For Sensitive Functionality Exposure Through IPC")</f>
        <v>Testing For Sensitive Functionality Exposure Through IPC</v>
      </c>
      <c r="H58" s="70"/>
      <c r="I58" s="62"/>
    </row>
    <row r="59" spans="2:9" x14ac:dyDescent="0.55000000000000004">
      <c r="B59" s="108" t="s">
        <v>54</v>
      </c>
      <c r="C59" s="74" t="s">
        <v>244</v>
      </c>
      <c r="D59" s="58" t="s">
        <v>3</v>
      </c>
      <c r="E59" s="59" t="s">
        <v>3</v>
      </c>
      <c r="F59" s="60"/>
      <c r="G59" s="70" t="str">
        <f>HYPERLINK(CONCATENATE(
BASE_URL,
"0x05h-Testing-Platform-Interaction.md#testing-javascript-execution-in-webviews"),
"Testing JavaScript Execution in WebViews")</f>
        <v>Testing JavaScript Execution in WebViews</v>
      </c>
      <c r="H59" s="70"/>
      <c r="I59" s="62"/>
    </row>
    <row r="60" spans="2:9" ht="34.799999999999997" x14ac:dyDescent="0.55000000000000004">
      <c r="B60" s="108" t="s">
        <v>55</v>
      </c>
      <c r="C60" s="74" t="s">
        <v>245</v>
      </c>
      <c r="D60" s="58" t="s">
        <v>3</v>
      </c>
      <c r="E60" s="59" t="s">
        <v>3</v>
      </c>
      <c r="F60" s="60"/>
      <c r="G60" s="70" t="str">
        <f>HYPERLINK(CONCATENATE(
BASE_URL,
"0x05h-Testing-Platform-Interaction.md#testing-webview-protocol-handlers"),
"Testing WebView Protocol Handlers")</f>
        <v>Testing WebView Protocol Handlers</v>
      </c>
      <c r="H60" s="70"/>
      <c r="I60" s="62"/>
    </row>
    <row r="61" spans="2:9" ht="34.799999999999997" x14ac:dyDescent="0.55000000000000004">
      <c r="B61" s="108" t="s">
        <v>104</v>
      </c>
      <c r="C61" s="74" t="s">
        <v>246</v>
      </c>
      <c r="D61" s="58" t="s">
        <v>3</v>
      </c>
      <c r="E61" s="59" t="s">
        <v>3</v>
      </c>
      <c r="F61" s="60"/>
      <c r="G61" s="70" t="str">
        <f>HYPERLINK(CONCATENATE(
BASE_URL,
"0x05h-Testing-Platform-Interaction.md#determining-whether-java-objects-are-exposed-through-webviews"),
"Testing Whether Java Objects Are Exposed Through WebViews")</f>
        <v>Testing Whether Java Objects Are Exposed Through WebViews</v>
      </c>
      <c r="H61" s="70"/>
      <c r="I61" s="62"/>
    </row>
    <row r="62" spans="2:9" x14ac:dyDescent="0.55000000000000004">
      <c r="B62" s="108" t="s">
        <v>103</v>
      </c>
      <c r="C62" s="74" t="s">
        <v>247</v>
      </c>
      <c r="D62" s="58" t="s">
        <v>3</v>
      </c>
      <c r="E62" s="59" t="s">
        <v>3</v>
      </c>
      <c r="F62" s="60"/>
      <c r="G62" s="70" t="str">
        <f>HYPERLINK(CONCATENATE(
BASE_URL,
"0x05h-Testing-Platform-Interaction.md#testing-object-persistence"),
"Testing Object (De-)Serialization")</f>
        <v>Testing Object (De-)Serialization</v>
      </c>
      <c r="H62" s="70"/>
      <c r="I62" s="62"/>
    </row>
    <row r="63" spans="2:9" x14ac:dyDescent="0.55000000000000004">
      <c r="B63" s="65" t="s">
        <v>33</v>
      </c>
      <c r="C63" s="66" t="s">
        <v>248</v>
      </c>
      <c r="D63" s="67"/>
      <c r="E63" s="68"/>
      <c r="F63" s="67"/>
      <c r="G63" s="66"/>
      <c r="H63" s="66"/>
      <c r="I63" s="69"/>
    </row>
    <row r="64" spans="2:9" x14ac:dyDescent="0.55000000000000004">
      <c r="B64" s="108" t="s">
        <v>56</v>
      </c>
      <c r="C64" s="57" t="s">
        <v>249</v>
      </c>
      <c r="D64" s="58" t="s">
        <v>3</v>
      </c>
      <c r="E64" s="59" t="s">
        <v>3</v>
      </c>
      <c r="F64" s="60"/>
      <c r="G64" s="70" t="str">
        <f>HYPERLINK(CONCATENATE(
BASE_URL,
"0x05i-Testing-Code-Quality-and-Build-Settings.md#making-sure-that-the-app-is-properly-signed"),
"Verifying That the App is Properly Signed")</f>
        <v>Verifying That the App is Properly Signed</v>
      </c>
      <c r="H64" s="70"/>
      <c r="I64" s="62"/>
    </row>
    <row r="65" spans="2:10" x14ac:dyDescent="0.55000000000000004">
      <c r="B65" s="108" t="s">
        <v>34</v>
      </c>
      <c r="C65" s="57" t="s">
        <v>250</v>
      </c>
      <c r="D65" s="58" t="s">
        <v>3</v>
      </c>
      <c r="E65" s="59" t="s">
        <v>3</v>
      </c>
      <c r="F65" s="60"/>
      <c r="G65" s="70" t="str">
        <f>HYPERLINK(CONCATENATE(
BASE_URL,
"0x05i-Testing-Code-Quality-and-Build-Settings.md#determining-whether-the-app-is-debuggable"),
"Testing If the App is Debuggable")</f>
        <v>Testing If the App is Debuggable</v>
      </c>
      <c r="H65" s="70"/>
      <c r="I65" s="62"/>
    </row>
    <row r="66" spans="2:10" x14ac:dyDescent="0.55000000000000004">
      <c r="B66" s="108" t="s">
        <v>57</v>
      </c>
      <c r="C66" s="57" t="s">
        <v>251</v>
      </c>
      <c r="D66" s="58" t="s">
        <v>3</v>
      </c>
      <c r="E66" s="59" t="s">
        <v>3</v>
      </c>
      <c r="F66" s="60"/>
      <c r="G66" s="70" t="str">
        <f>HYPERLINK(CONCATENATE(
BASE_URL,
"0x05i-Testing-Code-Quality-and-Build-Settings.md#finding-debugging-symbols"),
"Testing for Debugging Symbols")</f>
        <v>Testing for Debugging Symbols</v>
      </c>
      <c r="H66" s="70"/>
      <c r="I66" s="62"/>
    </row>
    <row r="67" spans="2:10" x14ac:dyDescent="0.55000000000000004">
      <c r="B67" s="108" t="s">
        <v>58</v>
      </c>
      <c r="C67" s="57" t="s">
        <v>252</v>
      </c>
      <c r="D67" s="58" t="s">
        <v>3</v>
      </c>
      <c r="E67" s="59" t="s">
        <v>3</v>
      </c>
      <c r="F67" s="60"/>
      <c r="G67" s="70" t="str">
        <f>HYPERLINK(CONCATENATE(
BASE_URL,
"0x05i-Testing-Code-Quality-and-Build-Settings.md#finding-debugging-code-and-verbose-error-logging"),
"Testing for Debugging Code and Verbose Error Logging")</f>
        <v>Testing for Debugging Code and Verbose Error Logging</v>
      </c>
      <c r="H67" s="70"/>
      <c r="I67" s="62"/>
    </row>
    <row r="68" spans="2:10" ht="34.799999999999997" x14ac:dyDescent="0.55000000000000004">
      <c r="B68" s="108" t="s">
        <v>59</v>
      </c>
      <c r="C68" s="57" t="s">
        <v>253</v>
      </c>
      <c r="D68" s="58" t="s">
        <v>3</v>
      </c>
      <c r="E68" s="59" t="s">
        <v>3</v>
      </c>
      <c r="F68" s="60"/>
      <c r="G68" s="77" t="str">
        <f>HYPERLINK(CONCATENATE(
BASE_URL,
"0x05i-Testing-Code-Quality-and-Build-Settings.md#checking-for-weaknesses-in-third-party-libraries"),
"Testing for Weaknesses in Third Party Libraries")</f>
        <v>Testing for Weaknesses in Third Party Libraries</v>
      </c>
      <c r="H68" s="77"/>
      <c r="I68" s="62"/>
    </row>
    <row r="69" spans="2:10" x14ac:dyDescent="0.55000000000000004">
      <c r="B69" s="108" t="s">
        <v>35</v>
      </c>
      <c r="C69" s="57" t="s">
        <v>254</v>
      </c>
      <c r="D69" s="58" t="s">
        <v>3</v>
      </c>
      <c r="E69" s="59" t="s">
        <v>3</v>
      </c>
      <c r="F69" s="60"/>
      <c r="G69" s="70" t="str">
        <f>HYPERLINK(CONCATENATE(
BASE_URL,
"0x05i-Testing-Code-Quality-and-Build-Settings.md#testing-exception-handling"),
"Testing Exception Handling")</f>
        <v>Testing Exception Handling</v>
      </c>
      <c r="H69" s="70"/>
      <c r="I69" s="62"/>
    </row>
    <row r="70" spans="2:10" x14ac:dyDescent="0.55000000000000004">
      <c r="B70" s="108" t="s">
        <v>36</v>
      </c>
      <c r="C70" s="57" t="s">
        <v>255</v>
      </c>
      <c r="D70" s="58" t="s">
        <v>3</v>
      </c>
      <c r="E70" s="59" t="s">
        <v>3</v>
      </c>
      <c r="F70" s="60"/>
      <c r="G70" s="70" t="str">
        <f>HYPERLINK(CONCATENATE(
BASE_URL,
"0x05i-Testing-Code-Quality-and-Build-Settings.md#testing-exception-handling"),
"Testing  Error Handling in Security Controls")</f>
        <v>Testing  Error Handling in Security Controls</v>
      </c>
      <c r="H70" s="70"/>
      <c r="I70" s="62"/>
    </row>
    <row r="71" spans="2:10" x14ac:dyDescent="0.55000000000000004">
      <c r="B71" s="108" t="s">
        <v>37</v>
      </c>
      <c r="C71" s="57" t="s">
        <v>256</v>
      </c>
      <c r="D71" s="58" t="s">
        <v>3</v>
      </c>
      <c r="E71" s="59" t="s">
        <v>3</v>
      </c>
      <c r="F71" s="60"/>
      <c r="G71" s="70" t="str">
        <f>HYPERLINK(CONCATENATE(
BASE_URL,
"0x04h-Testing-Code-Quality.md#memory-corruption-bugs"),
"Testing for Memory Management Bugs")</f>
        <v>Testing for Memory Management Bugs</v>
      </c>
      <c r="H71" s="70"/>
      <c r="I71" s="79"/>
      <c r="J71" s="80"/>
    </row>
    <row r="72" spans="2:10" ht="34.799999999999997" x14ac:dyDescent="0.55000000000000004">
      <c r="B72" s="108" t="s">
        <v>93</v>
      </c>
      <c r="C72" s="57" t="s">
        <v>257</v>
      </c>
      <c r="D72" s="58" t="s">
        <v>3</v>
      </c>
      <c r="E72" s="59" t="s">
        <v>3</v>
      </c>
      <c r="F72" s="60"/>
      <c r="G72" s="70" t="str">
        <f>HYPERLINK(CONCATENATE(
BASE_URL,
"0x05i-Testing-Code-Quality-and-Build-Settings.md#make-sure-that-free-security-features-are-activated"),
"Verifying usage of Free Security Features")</f>
        <v>Verifying usage of Free Security Features</v>
      </c>
      <c r="H72" s="70"/>
      <c r="I72" s="62"/>
    </row>
    <row r="73" spans="2:10" x14ac:dyDescent="0.55000000000000004">
      <c r="B73" s="81"/>
      <c r="C73" s="82"/>
      <c r="D73" s="83"/>
      <c r="E73" s="83"/>
      <c r="F73" s="83"/>
      <c r="G73" s="82"/>
      <c r="H73" s="82"/>
      <c r="I73" s="84"/>
    </row>
    <row r="74" spans="2:10" x14ac:dyDescent="0.55000000000000004">
      <c r="B74" s="85"/>
      <c r="C74" s="61"/>
      <c r="D74" s="38"/>
      <c r="E74" s="38"/>
      <c r="F74" s="38"/>
      <c r="G74" s="61"/>
      <c r="H74" s="61"/>
      <c r="I74" s="61"/>
    </row>
    <row r="75" spans="2:10" x14ac:dyDescent="0.55000000000000004">
      <c r="B75" s="85"/>
      <c r="C75" s="74"/>
      <c r="D75" s="38"/>
      <c r="E75" s="38"/>
      <c r="F75" s="38"/>
      <c r="G75" s="61"/>
      <c r="H75" s="61"/>
      <c r="I75" s="61"/>
    </row>
    <row r="76" spans="2:10" x14ac:dyDescent="0.55000000000000004">
      <c r="B76" s="85"/>
      <c r="C76" s="61"/>
      <c r="D76" s="38"/>
      <c r="E76" s="38"/>
      <c r="F76" s="38"/>
      <c r="G76" s="61"/>
      <c r="H76" s="61"/>
      <c r="I76" s="61"/>
    </row>
    <row r="77" spans="2:10" x14ac:dyDescent="0.55000000000000004">
      <c r="B77" s="86" t="s">
        <v>276</v>
      </c>
      <c r="C77" s="61"/>
      <c r="D77" s="38"/>
      <c r="E77" s="38"/>
      <c r="F77" s="38"/>
      <c r="G77" s="61"/>
      <c r="H77" s="61"/>
      <c r="I77" s="61"/>
    </row>
    <row r="78" spans="2:10" x14ac:dyDescent="0.55000000000000004">
      <c r="B78" s="87" t="s">
        <v>277</v>
      </c>
      <c r="C78" s="88" t="s">
        <v>278</v>
      </c>
      <c r="D78" s="38"/>
      <c r="E78" s="38"/>
      <c r="F78" s="38"/>
      <c r="G78" s="61"/>
      <c r="H78" s="61"/>
      <c r="I78" s="61"/>
    </row>
    <row r="79" spans="2:10" x14ac:dyDescent="0.55000000000000004">
      <c r="B79" s="89" t="s">
        <v>68</v>
      </c>
      <c r="C79" s="90" t="s">
        <v>279</v>
      </c>
      <c r="D79" s="38"/>
      <c r="E79" s="38"/>
      <c r="F79" s="38"/>
      <c r="G79" s="61"/>
      <c r="H79" s="61"/>
      <c r="I79" s="61"/>
    </row>
    <row r="80" spans="2:10" x14ac:dyDescent="0.55000000000000004">
      <c r="B80" s="89" t="s">
        <v>69</v>
      </c>
      <c r="C80" s="90" t="s">
        <v>280</v>
      </c>
      <c r="D80" s="38"/>
      <c r="E80" s="38"/>
      <c r="F80" s="38"/>
      <c r="G80" s="61"/>
      <c r="H80" s="61"/>
      <c r="I80" s="61"/>
    </row>
    <row r="81" spans="2:9" x14ac:dyDescent="0.55000000000000004">
      <c r="B81" s="89" t="s">
        <v>64</v>
      </c>
      <c r="C81" s="90" t="s">
        <v>281</v>
      </c>
      <c r="D81" s="38"/>
      <c r="E81" s="38"/>
      <c r="F81" s="38"/>
      <c r="G81" s="61"/>
      <c r="H81" s="61"/>
      <c r="I81" s="61"/>
    </row>
    <row r="82" spans="2:9" x14ac:dyDescent="0.55000000000000004">
      <c r="B82" s="85"/>
      <c r="C82" s="61"/>
      <c r="D82" s="38"/>
      <c r="E82" s="38"/>
      <c r="F82" s="38"/>
      <c r="G82" s="61"/>
      <c r="H82" s="61"/>
      <c r="I82" s="61"/>
    </row>
    <row r="83" spans="2:9" x14ac:dyDescent="0.55000000000000004">
      <c r="B83" s="85"/>
      <c r="C83" s="61"/>
      <c r="D83" s="38"/>
      <c r="E83" s="38"/>
      <c r="F83" s="38"/>
      <c r="G83" s="61"/>
      <c r="H83" s="61"/>
      <c r="I83" s="61"/>
    </row>
    <row r="84" spans="2:9" x14ac:dyDescent="0.55000000000000004">
      <c r="B84" s="85"/>
      <c r="C84" s="61"/>
      <c r="D84" s="38"/>
      <c r="E84" s="38"/>
      <c r="F84" s="38"/>
      <c r="G84" s="61"/>
      <c r="H84" s="61"/>
      <c r="I84" s="61"/>
    </row>
    <row r="85" spans="2:9" x14ac:dyDescent="0.55000000000000004">
      <c r="B85" s="85"/>
      <c r="C85" s="61"/>
      <c r="D85" s="38"/>
      <c r="E85" s="38"/>
      <c r="F85" s="38"/>
      <c r="G85" s="61"/>
      <c r="H85" s="61"/>
      <c r="I85" s="61"/>
    </row>
  </sheetData>
  <mergeCells count="2">
    <mergeCell ref="B1:I1"/>
    <mergeCell ref="G3:H3"/>
  </mergeCells>
  <phoneticPr fontId="12"/>
  <dataValidations count="2">
    <dataValidation type="list" allowBlank="1" showInputMessage="1" showErrorMessage="1" sqref="F74:F1048576 I74:I1048576" xr:uid="{00000000-0002-0000-0200-000000000000}">
      <formula1>"Yes,No,N/A"</formula1>
    </dataValidation>
    <dataValidation type="list" allowBlank="1" showInputMessage="1" showErrorMessage="1" sqref="F29:F34 F36:F46 F64:F72 F5:F14 F55:F62 F16:F27 F48:F53" xr:uid="{00000000-0002-0000-0200-000001000000}">
      <formula1>"Pass,Fail,N/A"</formula1>
    </dataValidation>
  </dataValidations>
  <pageMargins left="0.74803149606299213" right="0.74803149606299213" top="0.98425196850393704" bottom="0.98425196850393704" header="0.51181102362204722" footer="0.51181102362204722"/>
  <pageSetup paperSize="9" scale="35" fitToHeight="0" orientation="landscape" horizontalDpi="4294967292" verticalDpi="4294967292" r:id="rId1"/>
  <rowBreaks count="1" manualBreakCount="1">
    <brk id="4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G29"/>
  <sheetViews>
    <sheetView showGridLines="0" zoomScaleNormal="100" zoomScalePageLayoutView="130" workbookViewId="0"/>
  </sheetViews>
  <sheetFormatPr defaultColWidth="10.9140625" defaultRowHeight="19.2" x14ac:dyDescent="0.55000000000000004"/>
  <cols>
    <col min="1" max="1" width="1.5" style="46" customWidth="1"/>
    <col min="2" max="2" width="7.1640625" style="47" customWidth="1"/>
    <col min="3" max="3" width="97.1640625" style="48" customWidth="1"/>
    <col min="4" max="4" width="2.9140625" style="46" customWidth="1"/>
    <col min="5" max="5" width="5.6640625" style="46" customWidth="1"/>
    <col min="6" max="6" width="42.4140625" style="48" customWidth="1"/>
    <col min="7" max="7" width="30.58203125" style="48" customWidth="1"/>
    <col min="8" max="16384" width="10.9140625" style="46"/>
  </cols>
  <sheetData>
    <row r="1" spans="2:7" ht="21.6" x14ac:dyDescent="0.6">
      <c r="B1" s="91" t="s">
        <v>258</v>
      </c>
      <c r="C1" s="61"/>
      <c r="D1" s="38"/>
      <c r="E1" s="38"/>
      <c r="F1" s="61"/>
      <c r="G1" s="61"/>
    </row>
    <row r="2" spans="2:7" x14ac:dyDescent="0.55000000000000004">
      <c r="B2" s="85"/>
      <c r="C2" s="61"/>
      <c r="D2" s="38"/>
      <c r="E2" s="38"/>
      <c r="F2" s="61"/>
      <c r="G2" s="61"/>
    </row>
    <row r="3" spans="2:7" x14ac:dyDescent="0.55000000000000004">
      <c r="B3" s="49" t="s">
        <v>0</v>
      </c>
      <c r="C3" s="50" t="s">
        <v>259</v>
      </c>
      <c r="D3" s="51" t="s">
        <v>38</v>
      </c>
      <c r="E3" s="51" t="s">
        <v>184</v>
      </c>
      <c r="F3" s="50" t="s">
        <v>260</v>
      </c>
      <c r="G3" s="52" t="s">
        <v>186</v>
      </c>
    </row>
    <row r="4" spans="2:7" x14ac:dyDescent="0.55000000000000004">
      <c r="B4" s="65"/>
      <c r="C4" s="66" t="s">
        <v>261</v>
      </c>
      <c r="D4" s="67"/>
      <c r="E4" s="67"/>
      <c r="F4" s="66"/>
      <c r="G4" s="69"/>
    </row>
    <row r="5" spans="2:7" x14ac:dyDescent="0.55000000000000004">
      <c r="B5" s="108" t="s">
        <v>113</v>
      </c>
      <c r="C5" s="74" t="s">
        <v>262</v>
      </c>
      <c r="D5" s="92" t="s">
        <v>3</v>
      </c>
      <c r="E5" s="60" t="s">
        <v>64</v>
      </c>
      <c r="F5" s="70" t="str">
        <f>HYPERLINK(CONCATENATE(
BASE_URL,
"0x05j-Testing-Resiliency-Against-Reverse-Engineering.md#testing-root-detection"),
"Testing Root Detection")</f>
        <v>Testing Root Detection</v>
      </c>
      <c r="G5" s="62"/>
    </row>
    <row r="6" spans="2:7" ht="34.799999999999997" x14ac:dyDescent="0.55000000000000004">
      <c r="B6" s="108" t="s">
        <v>114</v>
      </c>
      <c r="C6" s="74" t="s">
        <v>263</v>
      </c>
      <c r="D6" s="92" t="s">
        <v>3</v>
      </c>
      <c r="E6" s="60" t="s">
        <v>64</v>
      </c>
      <c r="F6" s="70" t="str">
        <f>HYPERLINK(
CONCATENATE(
BASE_URL,
"0x05j-Testing-Resiliency-Against-Reverse-Engineering.md#testing-anti-debugging"),
"Testing Debugging Defenses")</f>
        <v>Testing Debugging Defenses</v>
      </c>
      <c r="G6" s="62"/>
    </row>
    <row r="7" spans="2:7" x14ac:dyDescent="0.55000000000000004">
      <c r="B7" s="108" t="s">
        <v>115</v>
      </c>
      <c r="C7" s="74" t="s">
        <v>264</v>
      </c>
      <c r="D7" s="92" t="s">
        <v>3</v>
      </c>
      <c r="E7" s="60" t="s">
        <v>64</v>
      </c>
      <c r="F7" s="70" t="str">
        <f>HYPERLINK(CONCATENATE(
BASE_URL,
"0x05j-Testing-Resiliency-Against-Reverse-Engineering.md#testing-file-integrity-checks"),
"Testing File Integrity Checks")</f>
        <v>Testing File Integrity Checks</v>
      </c>
      <c r="G7" s="62"/>
    </row>
    <row r="8" spans="2:7" x14ac:dyDescent="0.55000000000000004">
      <c r="B8" s="108" t="s">
        <v>116</v>
      </c>
      <c r="C8" s="74" t="s">
        <v>265</v>
      </c>
      <c r="D8" s="92" t="s">
        <v>3</v>
      </c>
      <c r="E8" s="60" t="s">
        <v>64</v>
      </c>
      <c r="F8" s="70" t="str">
        <f>HYPERLINK(CONCATENATE(
BASE_URL,
"0x05j-Testing-Resiliency-Against-Reverse-Engineering.md#testing-the-detection-of-reverse-engineering-tools"),
"Testing Detection of Reverse Engineering Tools")</f>
        <v>Testing Detection of Reverse Engineering Tools</v>
      </c>
      <c r="G8" s="62"/>
    </row>
    <row r="9" spans="2:7" x14ac:dyDescent="0.55000000000000004">
      <c r="B9" s="108" t="s">
        <v>117</v>
      </c>
      <c r="C9" s="74" t="s">
        <v>266</v>
      </c>
      <c r="D9" s="92" t="s">
        <v>3</v>
      </c>
      <c r="E9" s="60" t="s">
        <v>64</v>
      </c>
      <c r="F9" s="70" t="str">
        <f>HYPERLINK(CONCATENATE(
BASE_URL,
"0x05j-Testing-Resiliency-Against-Reverse-Engineering.md#testing-emulator-detection"),
"Testing Simple Emulator Detection")</f>
        <v>Testing Simple Emulator Detection</v>
      </c>
      <c r="G9" s="62"/>
    </row>
    <row r="10" spans="2:7" x14ac:dyDescent="0.55000000000000004">
      <c r="B10" s="108" t="s">
        <v>118</v>
      </c>
      <c r="C10" s="74" t="s">
        <v>267</v>
      </c>
      <c r="D10" s="92" t="s">
        <v>3</v>
      </c>
      <c r="E10" s="60" t="s">
        <v>64</v>
      </c>
      <c r="F10" s="70" t="str">
        <f>HYPERLINK(CONCATENATE(
BASE_URL,
"0x05j-Testing-Resiliency-Against-Reverse-Engineering.md#testing-run-time-integrity-checks"),
"Testing Run-Time Integrity Checks")</f>
        <v>Testing Run-Time Integrity Checks</v>
      </c>
      <c r="G10" s="62"/>
    </row>
    <row r="11" spans="2:7" ht="34.799999999999997" x14ac:dyDescent="0.55000000000000004">
      <c r="B11" s="108" t="s">
        <v>119</v>
      </c>
      <c r="C11" s="74" t="s">
        <v>268</v>
      </c>
      <c r="D11" s="92" t="s">
        <v>3</v>
      </c>
      <c r="E11" s="60" t="s">
        <v>64</v>
      </c>
      <c r="F11" s="61" t="s">
        <v>79</v>
      </c>
      <c r="G11" s="62"/>
    </row>
    <row r="12" spans="2:7" x14ac:dyDescent="0.55000000000000004">
      <c r="B12" s="108" t="s">
        <v>120</v>
      </c>
      <c r="C12" s="74" t="s">
        <v>269</v>
      </c>
      <c r="D12" s="92" t="s">
        <v>3</v>
      </c>
      <c r="E12" s="60" t="s">
        <v>64</v>
      </c>
      <c r="F12" s="61" t="s">
        <v>79</v>
      </c>
      <c r="G12" s="62"/>
    </row>
    <row r="13" spans="2:7" x14ac:dyDescent="0.55000000000000004">
      <c r="B13" s="108" t="s">
        <v>95</v>
      </c>
      <c r="C13" s="74" t="s">
        <v>270</v>
      </c>
      <c r="D13" s="92" t="s">
        <v>3</v>
      </c>
      <c r="E13" s="60" t="s">
        <v>64</v>
      </c>
      <c r="F13" s="70" t="str">
        <f>HYPERLINK(CONCATENATE(
BASE_URL,
"0x05j-Testing-Resiliency-Against-Reverse-Engineering.md#testing-obfuscation"),
"Testing Simple Obfuscation")</f>
        <v>Testing Simple Obfuscation</v>
      </c>
      <c r="G13" s="62"/>
    </row>
    <row r="14" spans="2:7" x14ac:dyDescent="0.55000000000000004">
      <c r="B14" s="65"/>
      <c r="C14" s="66" t="s">
        <v>271</v>
      </c>
      <c r="D14" s="67"/>
      <c r="E14" s="67"/>
      <c r="F14" s="66"/>
      <c r="G14" s="69"/>
    </row>
    <row r="15" spans="2:7" ht="34.799999999999997" x14ac:dyDescent="0.55000000000000004">
      <c r="B15" s="109" t="s">
        <v>60</v>
      </c>
      <c r="C15" s="74" t="s">
        <v>272</v>
      </c>
      <c r="D15" s="92" t="s">
        <v>3</v>
      </c>
      <c r="E15" s="60" t="s">
        <v>64</v>
      </c>
      <c r="F15" s="70" t="str">
        <f>HYPERLINK(CONCATENATE(
BASE_URL,
"0x05j-Testing-Resiliency-Against-Reverse-Engineering.md#testing-device-binding"),
"Testing Device Binding")</f>
        <v>Testing Device Binding</v>
      </c>
      <c r="G15" s="62"/>
    </row>
    <row r="16" spans="2:7" x14ac:dyDescent="0.55000000000000004">
      <c r="B16" s="65"/>
      <c r="C16" s="66" t="s">
        <v>273</v>
      </c>
      <c r="D16" s="67"/>
      <c r="E16" s="67"/>
      <c r="F16" s="66"/>
      <c r="G16" s="69"/>
    </row>
    <row r="17" spans="2:7" ht="34.799999999999997" x14ac:dyDescent="0.55000000000000004">
      <c r="B17" s="108" t="s">
        <v>121</v>
      </c>
      <c r="C17" s="74" t="s">
        <v>274</v>
      </c>
      <c r="D17" s="92" t="s">
        <v>3</v>
      </c>
      <c r="E17" s="60" t="s">
        <v>64</v>
      </c>
      <c r="F17" s="77" t="str">
        <f>HYPERLINK(CONCATENATE(
BASE_URL,
"0x05j-Testing-Resiliency-Against-Reverse-Engineering.md#testing-obfuscation"),
"Testing Obfuscation")</f>
        <v>Testing Obfuscation</v>
      </c>
      <c r="G17" s="62"/>
    </row>
    <row r="18" spans="2:7" ht="52.2" x14ac:dyDescent="0.55000000000000004">
      <c r="B18" s="108" t="s">
        <v>122</v>
      </c>
      <c r="C18" s="74" t="s">
        <v>275</v>
      </c>
      <c r="D18" s="92" t="s">
        <v>3</v>
      </c>
      <c r="E18" s="60" t="s">
        <v>64</v>
      </c>
      <c r="F18" s="61" t="s">
        <v>79</v>
      </c>
      <c r="G18" s="62"/>
    </row>
    <row r="19" spans="2:7" x14ac:dyDescent="0.55000000000000004">
      <c r="B19" s="81"/>
      <c r="C19" s="82"/>
      <c r="D19" s="83"/>
      <c r="E19" s="83"/>
      <c r="F19" s="82"/>
      <c r="G19" s="84"/>
    </row>
    <row r="20" spans="2:7" x14ac:dyDescent="0.55000000000000004">
      <c r="B20" s="85"/>
      <c r="C20" s="61"/>
      <c r="D20" s="38"/>
      <c r="E20" s="38"/>
      <c r="F20" s="61"/>
      <c r="G20" s="61"/>
    </row>
    <row r="21" spans="2:7" x14ac:dyDescent="0.55000000000000004">
      <c r="B21" s="85"/>
      <c r="C21" s="61"/>
      <c r="D21" s="38"/>
      <c r="E21" s="38"/>
      <c r="F21" s="61"/>
      <c r="G21" s="61"/>
    </row>
    <row r="22" spans="2:7" x14ac:dyDescent="0.55000000000000004">
      <c r="B22" s="86" t="s">
        <v>276</v>
      </c>
      <c r="C22" s="61"/>
      <c r="D22" s="38"/>
      <c r="E22" s="38"/>
      <c r="F22" s="61"/>
      <c r="G22" s="61"/>
    </row>
    <row r="23" spans="2:7" x14ac:dyDescent="0.55000000000000004">
      <c r="B23" s="87" t="s">
        <v>277</v>
      </c>
      <c r="C23" s="88" t="s">
        <v>278</v>
      </c>
      <c r="D23" s="38"/>
      <c r="E23" s="38"/>
      <c r="F23" s="61"/>
      <c r="G23" s="61"/>
    </row>
    <row r="24" spans="2:7" x14ac:dyDescent="0.55000000000000004">
      <c r="B24" s="89" t="s">
        <v>68</v>
      </c>
      <c r="C24" s="90" t="s">
        <v>279</v>
      </c>
      <c r="D24" s="38"/>
      <c r="E24" s="38"/>
      <c r="F24" s="61"/>
      <c r="G24" s="61"/>
    </row>
    <row r="25" spans="2:7" x14ac:dyDescent="0.55000000000000004">
      <c r="B25" s="89" t="s">
        <v>69</v>
      </c>
      <c r="C25" s="90" t="s">
        <v>280</v>
      </c>
      <c r="D25" s="38"/>
      <c r="E25" s="38"/>
      <c r="F25" s="61"/>
      <c r="G25" s="61"/>
    </row>
    <row r="26" spans="2:7" x14ac:dyDescent="0.55000000000000004">
      <c r="B26" s="89" t="s">
        <v>64</v>
      </c>
      <c r="C26" s="90" t="s">
        <v>281</v>
      </c>
      <c r="D26" s="38"/>
      <c r="E26" s="38"/>
      <c r="F26" s="61"/>
      <c r="G26" s="61"/>
    </row>
    <row r="27" spans="2:7" x14ac:dyDescent="0.55000000000000004">
      <c r="B27" s="85"/>
      <c r="C27" s="61"/>
      <c r="D27" s="38"/>
      <c r="E27" s="38"/>
      <c r="F27" s="61"/>
      <c r="G27" s="61"/>
    </row>
    <row r="28" spans="2:7" x14ac:dyDescent="0.55000000000000004">
      <c r="B28" s="85"/>
      <c r="C28" s="61"/>
      <c r="D28" s="38"/>
      <c r="E28" s="38"/>
      <c r="F28" s="61"/>
      <c r="G28" s="61"/>
    </row>
    <row r="29" spans="2:7" x14ac:dyDescent="0.55000000000000004">
      <c r="B29" s="85"/>
      <c r="C29" s="61"/>
      <c r="D29" s="38"/>
      <c r="E29" s="38"/>
      <c r="F29" s="61"/>
      <c r="G29" s="61"/>
    </row>
  </sheetData>
  <phoneticPr fontId="12"/>
  <dataValidations count="1">
    <dataValidation type="list" allowBlank="1" showInputMessage="1" showErrorMessage="1" sqref="E17:E18 E15 E5:E13" xr:uid="{00000000-0002-0000-0300-000000000000}">
      <formula1>"Pass,Fail,N/A"</formula1>
    </dataValidation>
  </dataValidations>
  <pageMargins left="0.74803149606299213" right="0.74803149606299213" top="0.98425196850393704" bottom="0.98425196850393704" header="0.51181102362204722" footer="0.51181102362204722"/>
  <pageSetup paperSize="9" scale="52" fitToHeight="0"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85"/>
  <sheetViews>
    <sheetView showGridLines="0" zoomScaleNormal="100" zoomScalePageLayoutView="130" workbookViewId="0"/>
  </sheetViews>
  <sheetFormatPr defaultColWidth="10.9140625" defaultRowHeight="19.2" x14ac:dyDescent="0.55000000000000004"/>
  <cols>
    <col min="1" max="1" width="1.5" style="19" customWidth="1"/>
    <col min="2" max="2" width="7.9140625" style="95" customWidth="1"/>
    <col min="3" max="3" width="97.1640625" style="94" customWidth="1"/>
    <col min="4" max="5" width="6.58203125" style="19" customWidth="1"/>
    <col min="6" max="6" width="5.6640625" style="19" customWidth="1"/>
    <col min="7" max="7" width="60.1640625" style="94" customWidth="1"/>
    <col min="8" max="8" width="63.58203125" style="48" customWidth="1"/>
    <col min="9" max="9" width="30.6640625" style="94" customWidth="1"/>
    <col min="10" max="10" width="10.9140625" style="19"/>
    <col min="11" max="12" width="10.6640625" style="19" customWidth="1"/>
    <col min="13" max="16384" width="10.9140625" style="19"/>
  </cols>
  <sheetData>
    <row r="1" spans="2:9" ht="21.6" x14ac:dyDescent="0.6">
      <c r="B1" s="93" t="s">
        <v>282</v>
      </c>
    </row>
    <row r="3" spans="2:9" x14ac:dyDescent="0.55000000000000004">
      <c r="B3" s="49" t="s">
        <v>0</v>
      </c>
      <c r="C3" s="50" t="s">
        <v>181</v>
      </c>
      <c r="D3" s="51" t="s">
        <v>182</v>
      </c>
      <c r="E3" s="51" t="s">
        <v>183</v>
      </c>
      <c r="F3" s="51" t="s">
        <v>184</v>
      </c>
      <c r="G3" s="153" t="s">
        <v>185</v>
      </c>
      <c r="H3" s="154"/>
      <c r="I3" s="52" t="s">
        <v>186</v>
      </c>
    </row>
    <row r="4" spans="2:9" x14ac:dyDescent="0.55000000000000004">
      <c r="B4" s="53" t="s">
        <v>1</v>
      </c>
      <c r="C4" s="54" t="s">
        <v>187</v>
      </c>
      <c r="D4" s="55"/>
      <c r="E4" s="55"/>
      <c r="F4" s="55"/>
      <c r="G4" s="54"/>
      <c r="H4" s="54"/>
      <c r="I4" s="56"/>
    </row>
    <row r="5" spans="2:9" x14ac:dyDescent="0.55000000000000004">
      <c r="B5" s="108" t="s">
        <v>2</v>
      </c>
      <c r="C5" s="57" t="s">
        <v>188</v>
      </c>
      <c r="D5" s="58" t="s">
        <v>3</v>
      </c>
      <c r="E5" s="59" t="s">
        <v>3</v>
      </c>
      <c r="F5" s="60"/>
      <c r="G5" s="61" t="s">
        <v>79</v>
      </c>
      <c r="H5" s="74"/>
      <c r="I5" s="62"/>
    </row>
    <row r="6" spans="2:9" x14ac:dyDescent="0.55000000000000004">
      <c r="B6" s="108" t="s">
        <v>112</v>
      </c>
      <c r="C6" s="57" t="s">
        <v>189</v>
      </c>
      <c r="D6" s="58" t="s">
        <v>3</v>
      </c>
      <c r="E6" s="59" t="s">
        <v>3</v>
      </c>
      <c r="F6" s="60"/>
      <c r="G6" s="61" t="s">
        <v>79</v>
      </c>
      <c r="H6" s="74"/>
      <c r="I6" s="62"/>
    </row>
    <row r="7" spans="2:9" ht="34.799999999999997" x14ac:dyDescent="0.55000000000000004">
      <c r="B7" s="108" t="s">
        <v>111</v>
      </c>
      <c r="C7" s="57" t="s">
        <v>190</v>
      </c>
      <c r="D7" s="58" t="s">
        <v>3</v>
      </c>
      <c r="E7" s="59" t="s">
        <v>3</v>
      </c>
      <c r="F7" s="60"/>
      <c r="G7" s="61" t="s">
        <v>79</v>
      </c>
      <c r="H7" s="74"/>
      <c r="I7" s="62"/>
    </row>
    <row r="8" spans="2:9" x14ac:dyDescent="0.55000000000000004">
      <c r="B8" s="108" t="s">
        <v>110</v>
      </c>
      <c r="C8" s="57" t="s">
        <v>191</v>
      </c>
      <c r="D8" s="58" t="s">
        <v>3</v>
      </c>
      <c r="E8" s="59" t="s">
        <v>3</v>
      </c>
      <c r="F8" s="60"/>
      <c r="G8" s="61" t="s">
        <v>79</v>
      </c>
      <c r="H8" s="74"/>
      <c r="I8" s="62"/>
    </row>
    <row r="9" spans="2:9" x14ac:dyDescent="0.55000000000000004">
      <c r="B9" s="108" t="s">
        <v>109</v>
      </c>
      <c r="C9" s="57" t="s">
        <v>192</v>
      </c>
      <c r="D9" s="63"/>
      <c r="E9" s="59" t="s">
        <v>3</v>
      </c>
      <c r="F9" s="60" t="s">
        <v>64</v>
      </c>
      <c r="G9" s="61" t="s">
        <v>79</v>
      </c>
      <c r="H9" s="74"/>
      <c r="I9" s="62"/>
    </row>
    <row r="10" spans="2:9" x14ac:dyDescent="0.55000000000000004">
      <c r="B10" s="108" t="s">
        <v>108</v>
      </c>
      <c r="C10" s="57" t="s">
        <v>193</v>
      </c>
      <c r="D10" s="63"/>
      <c r="E10" s="59" t="s">
        <v>3</v>
      </c>
      <c r="F10" s="60" t="s">
        <v>64</v>
      </c>
      <c r="G10" s="61" t="s">
        <v>79</v>
      </c>
      <c r="H10" s="74"/>
      <c r="I10" s="62"/>
    </row>
    <row r="11" spans="2:9" x14ac:dyDescent="0.55000000000000004">
      <c r="B11" s="108" t="s">
        <v>4</v>
      </c>
      <c r="C11" s="57" t="s">
        <v>194</v>
      </c>
      <c r="D11" s="64"/>
      <c r="E11" s="59" t="s">
        <v>3</v>
      </c>
      <c r="F11" s="60" t="s">
        <v>64</v>
      </c>
      <c r="G11" s="61" t="s">
        <v>79</v>
      </c>
      <c r="H11" s="74"/>
      <c r="I11" s="62"/>
    </row>
    <row r="12" spans="2:9" ht="34.799999999999997" x14ac:dyDescent="0.55000000000000004">
      <c r="B12" s="108" t="s">
        <v>107</v>
      </c>
      <c r="C12" s="57" t="s">
        <v>195</v>
      </c>
      <c r="D12" s="63"/>
      <c r="E12" s="59" t="s">
        <v>3</v>
      </c>
      <c r="F12" s="60" t="s">
        <v>64</v>
      </c>
      <c r="G12" s="61" t="s">
        <v>79</v>
      </c>
      <c r="H12" s="74"/>
      <c r="I12" s="62"/>
    </row>
    <row r="13" spans="2:9" x14ac:dyDescent="0.55000000000000004">
      <c r="B13" s="108" t="s">
        <v>106</v>
      </c>
      <c r="C13" s="57" t="s">
        <v>196</v>
      </c>
      <c r="D13" s="63"/>
      <c r="E13" s="59" t="s">
        <v>3</v>
      </c>
      <c r="F13" s="60" t="s">
        <v>64</v>
      </c>
      <c r="G13" s="61" t="s">
        <v>79</v>
      </c>
      <c r="H13" s="74"/>
      <c r="I13" s="62"/>
    </row>
    <row r="14" spans="2:9" x14ac:dyDescent="0.55000000000000004">
      <c r="B14" s="108" t="s">
        <v>5</v>
      </c>
      <c r="C14" s="57" t="s">
        <v>197</v>
      </c>
      <c r="D14" s="63"/>
      <c r="E14" s="59" t="s">
        <v>3</v>
      </c>
      <c r="F14" s="60" t="s">
        <v>64</v>
      </c>
      <c r="G14" s="61" t="s">
        <v>79</v>
      </c>
      <c r="H14" s="74"/>
      <c r="I14" s="62"/>
    </row>
    <row r="15" spans="2:9" x14ac:dyDescent="0.55000000000000004">
      <c r="B15" s="65" t="s">
        <v>6</v>
      </c>
      <c r="C15" s="66" t="s">
        <v>198</v>
      </c>
      <c r="D15" s="67"/>
      <c r="E15" s="68"/>
      <c r="F15" s="67"/>
      <c r="G15" s="66"/>
      <c r="H15" s="66"/>
      <c r="I15" s="69"/>
    </row>
    <row r="16" spans="2:9" ht="34.799999999999997" x14ac:dyDescent="0.55000000000000004">
      <c r="B16" s="108" t="s">
        <v>7</v>
      </c>
      <c r="C16" s="57" t="s">
        <v>199</v>
      </c>
      <c r="D16" s="58" t="s">
        <v>3</v>
      </c>
      <c r="E16" s="59" t="s">
        <v>3</v>
      </c>
      <c r="F16" s="60"/>
      <c r="G16" s="70" t="str">
        <f>HYPERLINK(CONCATENATE(
BASE_URL,
"0x06d-Testing-Data-Storage.md#testing-local-data-storage"),
"Testing For Sensitive Data in Local Data Storage")</f>
        <v>Testing For Sensitive Data in Local Data Storage</v>
      </c>
      <c r="H16" s="74"/>
      <c r="I16" s="62"/>
    </row>
    <row r="17" spans="2:10" x14ac:dyDescent="0.55000000000000004">
      <c r="B17" s="108" t="s">
        <v>39</v>
      </c>
      <c r="C17" s="57" t="s">
        <v>200</v>
      </c>
      <c r="D17" s="58"/>
      <c r="E17" s="59"/>
      <c r="F17" s="60"/>
      <c r="G17" s="70" t="str">
        <f>HYPERLINK(CONCATENATE(
BASE_URL,
"0x06d-Testing-Data-Storage.md#testing-local-data-storage"),
"Testing For Sensitive Data in Local Data Storage")</f>
        <v>Testing For Sensitive Data in Local Data Storage</v>
      </c>
      <c r="H17" s="74"/>
      <c r="I17" s="62"/>
    </row>
    <row r="18" spans="2:10" x14ac:dyDescent="0.55000000000000004">
      <c r="B18" s="108" t="s">
        <v>40</v>
      </c>
      <c r="C18" s="57" t="s">
        <v>201</v>
      </c>
      <c r="D18" s="58" t="s">
        <v>3</v>
      </c>
      <c r="E18" s="59" t="s">
        <v>3</v>
      </c>
      <c r="F18" s="60"/>
      <c r="G18" s="70" t="str">
        <f>HYPERLINK(CONCATENATE(
BASE_URL,
"0x06d-Testing-Data-Storage.md#checking-logs-for-sensitive-data"),
"Testing For Sensitive Data in Logs")</f>
        <v>Testing For Sensitive Data in Logs</v>
      </c>
      <c r="H18" s="74"/>
      <c r="I18" s="62"/>
    </row>
    <row r="19" spans="2:10" x14ac:dyDescent="0.55000000000000004">
      <c r="B19" s="108" t="s">
        <v>8</v>
      </c>
      <c r="C19" s="57" t="s">
        <v>202</v>
      </c>
      <c r="D19" s="58" t="s">
        <v>3</v>
      </c>
      <c r="E19" s="59" t="s">
        <v>3</v>
      </c>
      <c r="F19" s="60"/>
      <c r="G19" s="70" t="str">
        <f>HYPERLINK(CONCATENATE(
BASE_URL,
"0x06d-Testing-Data-Storage.md#determining-whether-sensitive-data-is-sent-to-third-parties"),
"Testing Whether Sensitive Data Is Sent To Third Parties")</f>
        <v>Testing Whether Sensitive Data Is Sent To Third Parties</v>
      </c>
      <c r="H19" s="74"/>
      <c r="I19" s="62"/>
    </row>
    <row r="20" spans="2:10" x14ac:dyDescent="0.55000000000000004">
      <c r="B20" s="108" t="s">
        <v>41</v>
      </c>
      <c r="C20" s="57" t="s">
        <v>203</v>
      </c>
      <c r="D20" s="58" t="s">
        <v>3</v>
      </c>
      <c r="E20" s="59" t="s">
        <v>3</v>
      </c>
      <c r="F20" s="60"/>
      <c r="G20" s="70" t="str">
        <f>HYPERLINK(CONCATENATE(
BASE_URL,
"0x06d-Testing-Data-Storage.md#finding-sensitive-data-in-the-keyboard-cache"),
"Testing Whether the Keyboard Cache Is Disabled for Text Input Fields")</f>
        <v>Testing Whether the Keyboard Cache Is Disabled for Text Input Fields</v>
      </c>
      <c r="H20" s="74"/>
      <c r="I20" s="62"/>
    </row>
    <row r="21" spans="2:10" x14ac:dyDescent="0.55000000000000004">
      <c r="B21" s="108" t="s">
        <v>9</v>
      </c>
      <c r="C21" s="57" t="s">
        <v>204</v>
      </c>
      <c r="D21" s="58" t="s">
        <v>3</v>
      </c>
      <c r="E21" s="59" t="s">
        <v>3</v>
      </c>
      <c r="F21" s="60"/>
      <c r="G21" s="70" t="str">
        <f>HYPERLINK(CONCATENATE(
BASE_URL,
"0x06d-Testing-Data-Storage.md#determining-whether-sensitive-data-is-exposed-via-ipc-mechanisms"),
"Testing Whether Sensitive Data Is Exposed via IPC Mechanisms")</f>
        <v>Testing Whether Sensitive Data Is Exposed via IPC Mechanisms</v>
      </c>
      <c r="H21" s="74"/>
      <c r="I21" s="62"/>
    </row>
    <row r="22" spans="2:10" x14ac:dyDescent="0.55000000000000004">
      <c r="B22" s="108" t="s">
        <v>10</v>
      </c>
      <c r="C22" s="57" t="s">
        <v>205</v>
      </c>
      <c r="D22" s="58" t="s">
        <v>3</v>
      </c>
      <c r="E22" s="59" t="s">
        <v>3</v>
      </c>
      <c r="F22" s="60"/>
      <c r="G22" s="70" t="str">
        <f>HYPERLINK(CONCATENATE(
BASE_URL,
"0x06d-Testing-Data-Storage.md#checking-for-sensitive-data-disclosed-through-the-user-interface"),
"Testing for Sensitive Data Disclosure Through the User Interface")</f>
        <v>Testing for Sensitive Data Disclosure Through the User Interface</v>
      </c>
      <c r="H22" s="74"/>
      <c r="I22" s="62"/>
    </row>
    <row r="23" spans="2:10" x14ac:dyDescent="0.55000000000000004">
      <c r="B23" s="108" t="s">
        <v>11</v>
      </c>
      <c r="C23" s="57" t="s">
        <v>206</v>
      </c>
      <c r="D23" s="73"/>
      <c r="E23" s="59" t="s">
        <v>3</v>
      </c>
      <c r="F23" s="60" t="s">
        <v>64</v>
      </c>
      <c r="G23" s="70" t="str">
        <f>HYPERLINK(CONCATENATE(
BASE_URL,
"0x06d-Testing-Data-Storage.md#testing-backups-for-sensitive-data"),
"Testing for Sensitive Data in Backups")</f>
        <v>Testing for Sensitive Data in Backups</v>
      </c>
      <c r="H23" s="74"/>
      <c r="I23" s="62"/>
    </row>
    <row r="24" spans="2:10" x14ac:dyDescent="0.55000000000000004">
      <c r="B24" s="108" t="s">
        <v>12</v>
      </c>
      <c r="C24" s="57" t="s">
        <v>207</v>
      </c>
      <c r="D24" s="73"/>
      <c r="E24" s="59" t="s">
        <v>3</v>
      </c>
      <c r="F24" s="60" t="s">
        <v>64</v>
      </c>
      <c r="G24" s="70" t="str">
        <f>HYPERLINK(CONCATENATE(
BASE_URL,
"0x06d-Testing-Data-Storage.md#testing-auto-generated-screenshots-for-sensitive-information"),
"Testing for Sensitive Information in Auto-Generated Screenshots")</f>
        <v>Testing for Sensitive Information in Auto-Generated Screenshots</v>
      </c>
      <c r="H24" s="74"/>
      <c r="I24" s="62"/>
    </row>
    <row r="25" spans="2:10" x14ac:dyDescent="0.55000000000000004">
      <c r="B25" s="108" t="s">
        <v>42</v>
      </c>
      <c r="C25" s="57" t="s">
        <v>208</v>
      </c>
      <c r="D25" s="73"/>
      <c r="E25" s="59" t="s">
        <v>3</v>
      </c>
      <c r="F25" s="60" t="s">
        <v>64</v>
      </c>
      <c r="G25" s="70" t="str">
        <f>HYPERLINK(CONCATENATE(
BASE_URL,
"0x06d-Testing-Data-Storage.md#testing-memory-for-sensitive-data"),
"Testing for Sensitive Data in Memory")</f>
        <v>Testing for Sensitive Data in Memory</v>
      </c>
      <c r="H25" s="74"/>
      <c r="I25" s="62"/>
    </row>
    <row r="26" spans="2:10" ht="34.799999999999997" x14ac:dyDescent="0.55000000000000004">
      <c r="B26" s="108" t="s">
        <v>43</v>
      </c>
      <c r="C26" s="57" t="s">
        <v>209</v>
      </c>
      <c r="D26" s="73"/>
      <c r="E26" s="59" t="s">
        <v>3</v>
      </c>
      <c r="F26" s="60" t="s">
        <v>64</v>
      </c>
      <c r="G26" s="77" t="str">
        <f>HYPERLINK(CONCATENATE(
BASE_URL,
"0x06f-Testing-Local-Authentication.md#local-authentication-on-ios"),
"Testing Local Authentication")</f>
        <v>Testing Local Authentication</v>
      </c>
      <c r="H26" s="74"/>
      <c r="I26" s="62"/>
      <c r="J26" s="96"/>
    </row>
    <row r="27" spans="2:10" ht="34.799999999999997" x14ac:dyDescent="0.55000000000000004">
      <c r="B27" s="108" t="s">
        <v>13</v>
      </c>
      <c r="C27" s="57" t="s">
        <v>210</v>
      </c>
      <c r="D27" s="73"/>
      <c r="E27" s="59" t="s">
        <v>3</v>
      </c>
      <c r="F27" s="60" t="s">
        <v>64</v>
      </c>
      <c r="G27" s="97" t="str">
        <f>HYPERLINK(CONCATENATE(
BASE_URL,
"0x06f-Testing-Local-Authentication.md#local-authentication-on-ios"),
"Testing Local Authentication")</f>
        <v>Testing Local Authentication</v>
      </c>
      <c r="H27" s="74"/>
      <c r="I27" s="62"/>
      <c r="J27" s="46"/>
    </row>
    <row r="28" spans="2:10" x14ac:dyDescent="0.55000000000000004">
      <c r="B28" s="65" t="s">
        <v>14</v>
      </c>
      <c r="C28" s="66" t="s">
        <v>212</v>
      </c>
      <c r="D28" s="67"/>
      <c r="E28" s="68"/>
      <c r="F28" s="67"/>
      <c r="G28" s="66"/>
      <c r="H28" s="66"/>
      <c r="I28" s="69"/>
    </row>
    <row r="29" spans="2:10" x14ac:dyDescent="0.55000000000000004">
      <c r="B29" s="108" t="s">
        <v>15</v>
      </c>
      <c r="C29" s="57" t="s">
        <v>213</v>
      </c>
      <c r="D29" s="58" t="s">
        <v>3</v>
      </c>
      <c r="E29" s="59" t="s">
        <v>3</v>
      </c>
      <c r="F29" s="60"/>
      <c r="G29" s="70" t="str">
        <f>HYPERLINK(CONCATENATE(
BASE_URL,
"0x06e-Testing-Cryptography.md#testing-key-management"),
"Verifying Key Management")</f>
        <v>Verifying Key Management</v>
      </c>
      <c r="H29" s="74"/>
      <c r="I29" s="62"/>
    </row>
    <row r="30" spans="2:10" x14ac:dyDescent="0.55000000000000004">
      <c r="B30" s="108" t="s">
        <v>16</v>
      </c>
      <c r="C30" s="57" t="s">
        <v>214</v>
      </c>
      <c r="D30" s="58" t="s">
        <v>3</v>
      </c>
      <c r="E30" s="59" t="s">
        <v>3</v>
      </c>
      <c r="F30" s="60"/>
      <c r="G30" s="70" t="str">
        <f>HYPERLINK(CONCATENATE(
BASE_URL,
"0x04g-Testing-Cryptography.md#custom-implementations-of-cryptography"),
"Testing for Custom Implementations of Cryptography")</f>
        <v>Testing for Custom Implementations of Cryptography</v>
      </c>
      <c r="H30" s="74"/>
      <c r="I30" s="62"/>
    </row>
    <row r="31" spans="2:10" ht="34.799999999999997" x14ac:dyDescent="0.55000000000000004">
      <c r="B31" s="108" t="s">
        <v>17</v>
      </c>
      <c r="C31" s="57" t="s">
        <v>215</v>
      </c>
      <c r="D31" s="58" t="s">
        <v>3</v>
      </c>
      <c r="E31" s="59" t="s">
        <v>3</v>
      </c>
      <c r="F31" s="60"/>
      <c r="G31" s="70" t="str">
        <f>HYPERLINK(CONCATENATE(
BASE_URL,
"0x06e-Testing-Cryptography.md#verifying-the-configuration-of-cryptographic-standard-algorithms"),
"Verifying the Configuration of Cryptographic Standard Algorithms")</f>
        <v>Verifying the Configuration of Cryptographic Standard Algorithms</v>
      </c>
      <c r="H31" s="74"/>
      <c r="I31" s="62"/>
    </row>
    <row r="32" spans="2:10" x14ac:dyDescent="0.55000000000000004">
      <c r="B32" s="108" t="s">
        <v>18</v>
      </c>
      <c r="C32" s="57" t="s">
        <v>216</v>
      </c>
      <c r="D32" s="58" t="s">
        <v>3</v>
      </c>
      <c r="E32" s="59" t="s">
        <v>3</v>
      </c>
      <c r="F32" s="60"/>
      <c r="G32" s="70" t="str">
        <f>HYPERLINK(CONCATENATE(
BASE_URL,
"0x04g-Testing-Cryptography.md#identifying-insecure-andor-deprecated-cryptographic-algorithms"),
"Testing for Insecure and/or Deprecated Cryptographic Algorithms")</f>
        <v>Testing for Insecure and/or Deprecated Cryptographic Algorithms</v>
      </c>
      <c r="H32" s="74"/>
      <c r="I32" s="62"/>
    </row>
    <row r="33" spans="2:11" x14ac:dyDescent="0.55000000000000004">
      <c r="B33" s="108" t="s">
        <v>19</v>
      </c>
      <c r="C33" s="57" t="s">
        <v>217</v>
      </c>
      <c r="D33" s="58" t="s">
        <v>3</v>
      </c>
      <c r="E33" s="59" t="s">
        <v>3</v>
      </c>
      <c r="F33" s="60"/>
      <c r="G33" s="70" t="str">
        <f>HYPERLINK(CONCATENATE(
BASE_URL,
"0x06e-Testing-Cryptography.md#testing-key-management"),
"Verifying Key Management")</f>
        <v>Verifying Key Management</v>
      </c>
      <c r="H33" s="74"/>
      <c r="I33" s="62"/>
    </row>
    <row r="34" spans="2:11" x14ac:dyDescent="0.55000000000000004">
      <c r="B34" s="108" t="s">
        <v>20</v>
      </c>
      <c r="C34" s="57" t="s">
        <v>218</v>
      </c>
      <c r="D34" s="58" t="s">
        <v>3</v>
      </c>
      <c r="E34" s="59" t="s">
        <v>3</v>
      </c>
      <c r="F34" s="60"/>
      <c r="G34" s="70" t="str">
        <f>HYPERLINK(CONCATENATE(
BASE_URL,
"0x06e-Testing-Cryptography.md#testing-random-number-generation"),
"Testing Random Number Generation")</f>
        <v>Testing Random Number Generation</v>
      </c>
      <c r="H34" s="74"/>
      <c r="I34" s="62"/>
    </row>
    <row r="35" spans="2:11" x14ac:dyDescent="0.55000000000000004">
      <c r="B35" s="65" t="s">
        <v>21</v>
      </c>
      <c r="C35" s="66" t="s">
        <v>219</v>
      </c>
      <c r="D35" s="67"/>
      <c r="E35" s="68"/>
      <c r="F35" s="67"/>
      <c r="G35" s="66"/>
      <c r="H35" s="66"/>
      <c r="I35" s="69"/>
    </row>
    <row r="36" spans="2:11" ht="34.799999999999997" x14ac:dyDescent="0.55000000000000004">
      <c r="B36" s="108" t="s">
        <v>22</v>
      </c>
      <c r="C36" s="74" t="s">
        <v>220</v>
      </c>
      <c r="D36" s="58" t="s">
        <v>3</v>
      </c>
      <c r="E36" s="59" t="s">
        <v>3</v>
      </c>
      <c r="F36" s="60"/>
      <c r="G36" s="70" t="str">
        <f>HYPERLINK(CONCATENATE(
BASE_URL,
"0x04e-Testing-Authentication-and-Session-Management.md#testing-authentication"),
"Verifying that Users Are Properly Authenticated")</f>
        <v>Verifying that Users Are Properly Authenticated</v>
      </c>
      <c r="H36" s="74"/>
      <c r="I36" s="62"/>
    </row>
    <row r="37" spans="2:11" ht="34.799999999999997" x14ac:dyDescent="0.55000000000000004">
      <c r="B37" s="108" t="s">
        <v>44</v>
      </c>
      <c r="C37" s="74" t="s">
        <v>221</v>
      </c>
      <c r="D37" s="58" t="s">
        <v>3</v>
      </c>
      <c r="E37" s="59" t="s">
        <v>3</v>
      </c>
      <c r="F37" s="60"/>
      <c r="G37" s="70" t="str">
        <f>HYPERLINK(CONCATENATE(
BASE_URL,
"0x04e-Testing-Authentication-and-Session-Management.md#testing-stateful-session-management"),
"Testing Stateful Session Management")</f>
        <v>Testing Stateful Session Management</v>
      </c>
      <c r="H37" s="74"/>
      <c r="I37" s="62"/>
    </row>
    <row r="38" spans="2:11" ht="34.799999999999997" x14ac:dyDescent="0.55000000000000004">
      <c r="B38" s="108" t="s">
        <v>45</v>
      </c>
      <c r="C38" s="74" t="s">
        <v>222</v>
      </c>
      <c r="D38" s="58" t="s">
        <v>3</v>
      </c>
      <c r="E38" s="59" t="s">
        <v>3</v>
      </c>
      <c r="F38" s="60"/>
      <c r="G38" s="70" t="str">
        <f>HYPERLINK(CONCATENATE(
BASE_URL,
"0x04e-Testing-Authentication-and-Session-Management.md#testing-stateless-token-based-authentication"),
"Testing Stateless Authentication")</f>
        <v>Testing Stateless Authentication</v>
      </c>
      <c r="H38" s="74"/>
      <c r="I38" s="62"/>
    </row>
    <row r="39" spans="2:11" x14ac:dyDescent="0.55000000000000004">
      <c r="B39" s="108" t="s">
        <v>23</v>
      </c>
      <c r="C39" s="74" t="s">
        <v>223</v>
      </c>
      <c r="D39" s="58"/>
      <c r="E39" s="59"/>
      <c r="F39" s="60"/>
      <c r="G39" s="70" t="str">
        <f>HYPERLINK(
CONCATENATE(
BASE_URL,
"0x04e-Testing-Authentication-and-Session-Management.md#user-logout-and-session-timeouts"),
"Testing the Logout Functionality")</f>
        <v>Testing the Logout Functionality</v>
      </c>
      <c r="H39" s="74"/>
      <c r="I39" s="62"/>
      <c r="K39" s="75"/>
    </row>
    <row r="40" spans="2:11" x14ac:dyDescent="0.55000000000000004">
      <c r="B40" s="108" t="s">
        <v>24</v>
      </c>
      <c r="C40" s="74" t="s">
        <v>224</v>
      </c>
      <c r="D40" s="58" t="s">
        <v>3</v>
      </c>
      <c r="E40" s="59" t="s">
        <v>3</v>
      </c>
      <c r="F40" s="60"/>
      <c r="G40" s="70" t="str">
        <f>HYPERLINK(CONCATENATE(
BASE_URL,
"0x04e-Testing-Authentication-and-Session-Management.md#best-practices-for-passwords"),
"Testing the Password Policy")</f>
        <v>Testing the Password Policy</v>
      </c>
      <c r="H40" s="74"/>
      <c r="I40" s="62"/>
      <c r="K40" s="75"/>
    </row>
    <row r="41" spans="2:11" x14ac:dyDescent="0.55000000000000004">
      <c r="B41" s="108" t="s">
        <v>46</v>
      </c>
      <c r="C41" s="74" t="s">
        <v>225</v>
      </c>
      <c r="D41" s="58" t="s">
        <v>3</v>
      </c>
      <c r="E41" s="59" t="s">
        <v>3</v>
      </c>
      <c r="F41" s="60"/>
      <c r="G41" s="70" t="str">
        <f>HYPERLINK(CONCATENATE(
BASE_URL,
"0x04e-Testing-Authentication-and-Session-Management.md#running-a-password-dictionary-attack"),
"Testing Excessive Login Attempts")</f>
        <v>Testing Excessive Login Attempts</v>
      </c>
      <c r="H41" s="74"/>
      <c r="I41" s="62"/>
    </row>
    <row r="42" spans="2:11" ht="34.799999999999997" x14ac:dyDescent="0.55000000000000004">
      <c r="B42" s="108" t="s">
        <v>47</v>
      </c>
      <c r="C42" s="74" t="s">
        <v>226</v>
      </c>
      <c r="D42" s="58" t="s">
        <v>3</v>
      </c>
      <c r="E42" s="59" t="s">
        <v>3</v>
      </c>
      <c r="F42" s="60"/>
      <c r="G42" s="70" t="str">
        <f>HYPERLINK(CONCATENATE(
BASE_URL,
"0x04e-Testing-Authentication-and-Session-Management.md#session-timeout"),
"Testing the Session Timeout")</f>
        <v>Testing the Session Timeout</v>
      </c>
      <c r="H42" s="98"/>
      <c r="I42" s="76"/>
    </row>
    <row r="43" spans="2:11" ht="34.799999999999997" x14ac:dyDescent="0.55000000000000004">
      <c r="B43" s="108" t="s">
        <v>25</v>
      </c>
      <c r="C43" s="74" t="s">
        <v>227</v>
      </c>
      <c r="D43" s="73"/>
      <c r="E43" s="59" t="s">
        <v>3</v>
      </c>
      <c r="F43" s="60" t="s">
        <v>64</v>
      </c>
      <c r="G43" s="70" t="str">
        <f>HYPERLINK(CONCATENATE(
BASE_URL,
"0x06f-Testing-Local-Authentication.md#testing-local-authentication"),
"Testing Biometric Authentication")</f>
        <v>Testing Biometric Authentication</v>
      </c>
      <c r="H43" s="74"/>
      <c r="I43" s="62"/>
    </row>
    <row r="44" spans="2:11" x14ac:dyDescent="0.55000000000000004">
      <c r="B44" s="108" t="s">
        <v>26</v>
      </c>
      <c r="C44" s="74" t="s">
        <v>228</v>
      </c>
      <c r="D44" s="73"/>
      <c r="E44" s="59" t="s">
        <v>3</v>
      </c>
      <c r="F44" s="60" t="s">
        <v>64</v>
      </c>
      <c r="G44" s="70" t="str">
        <f>HYPERLINK(CONCATENATE(
BASE_URL,
"0x04e-Testing-Authentication-and-Session-Management.md#verifying-that-2fa-is-enforced"),
"Testing 2-Factor Authentication")</f>
        <v>Testing 2-Factor Authentication</v>
      </c>
      <c r="H44" s="74"/>
      <c r="I44" s="62"/>
    </row>
    <row r="45" spans="2:11" x14ac:dyDescent="0.55000000000000004">
      <c r="B45" s="108" t="s">
        <v>27</v>
      </c>
      <c r="C45" s="74" t="s">
        <v>229</v>
      </c>
      <c r="D45" s="73"/>
      <c r="E45" s="59" t="s">
        <v>3</v>
      </c>
      <c r="F45" s="60" t="s">
        <v>64</v>
      </c>
      <c r="G45" s="70" t="str">
        <f>HYPERLINK(CONCATENATE(
BASE_URL,
"0x04e-Testing-Authentication-and-Session-Management.md#2-factor-authentication-and-step-up-authentication"),
"Testing Step-up Authentication")</f>
        <v>Testing Step-up Authentication</v>
      </c>
      <c r="H45" s="74"/>
      <c r="I45" s="62"/>
    </row>
    <row r="46" spans="2:11" ht="34.799999999999997" x14ac:dyDescent="0.55000000000000004">
      <c r="B46" s="108" t="s">
        <v>91</v>
      </c>
      <c r="C46" s="74" t="s">
        <v>230</v>
      </c>
      <c r="D46" s="73"/>
      <c r="E46" s="59" t="s">
        <v>3</v>
      </c>
      <c r="F46" s="60" t="s">
        <v>64</v>
      </c>
      <c r="G46" s="70" t="str">
        <f>HYPERLINK(CONCATENATE(
BASE_URL,
"0x04e-Testing-Authentication-and-Session-Management.md#login-activity-and-device-blocking"),
"Testing Login Activity and Device Blocking")</f>
        <v>Testing Login Activity and Device Blocking</v>
      </c>
      <c r="H46" s="74"/>
      <c r="I46" s="62"/>
    </row>
    <row r="47" spans="2:11" x14ac:dyDescent="0.55000000000000004">
      <c r="B47" s="65" t="s">
        <v>28</v>
      </c>
      <c r="C47" s="66" t="s">
        <v>232</v>
      </c>
      <c r="D47" s="67"/>
      <c r="E47" s="68"/>
      <c r="F47" s="67"/>
      <c r="G47" s="66"/>
      <c r="H47" s="66"/>
      <c r="I47" s="69"/>
    </row>
    <row r="48" spans="2:11" ht="34.799999999999997" x14ac:dyDescent="0.55000000000000004">
      <c r="B48" s="108" t="s">
        <v>29</v>
      </c>
      <c r="C48" s="74" t="s">
        <v>233</v>
      </c>
      <c r="D48" s="58" t="s">
        <v>3</v>
      </c>
      <c r="E48" s="59" t="s">
        <v>3</v>
      </c>
      <c r="F48" s="60"/>
      <c r="G48" s="70" t="str">
        <f>HYPERLINK(CONCATENATE(
BASE_URL,
"0x04f-Testing-Network-Communication.md#verifying-data-encryption-on-the-network"),
"Testing for Unencrypted Sensitive Data on the Network")</f>
        <v>Testing for Unencrypted Sensitive Data on the Network</v>
      </c>
      <c r="H48" s="77" t="str">
        <f>HYPERLINK(CONCATENATE(
BASE_URL,
"0x06g-Testing-Network-Communication.md#app-transport-security"),
"App Transport Security (ATS)")</f>
        <v>App Transport Security (ATS)</v>
      </c>
      <c r="I48" s="78"/>
    </row>
    <row r="49" spans="2:9" ht="34.799999999999997" x14ac:dyDescent="0.55000000000000004">
      <c r="B49" s="108" t="s">
        <v>48</v>
      </c>
      <c r="C49" s="74" t="s">
        <v>234</v>
      </c>
      <c r="D49" s="58" t="s">
        <v>3</v>
      </c>
      <c r="E49" s="59" t="s">
        <v>3</v>
      </c>
      <c r="F49" s="60"/>
      <c r="G49" s="70" t="str">
        <f>HYPERLINK(CONCATENATE(
BASE_URL,
"0x04f-Testing-Network-Communication.md#recommended-tls-settings"),
"Verifying the TLS Settings")</f>
        <v>Verifying the TLS Settings</v>
      </c>
      <c r="H49" s="77" t="str">
        <f>HYPERLINK(CONCATENATE(
BASE_URL,
"0x06g-Testing-Network-Communication.md#app-transport-security"),
"App Transport Security (ATS)")</f>
        <v>App Transport Security (ATS)</v>
      </c>
      <c r="I49" s="78"/>
    </row>
    <row r="50" spans="2:9" ht="34.799999999999997" x14ac:dyDescent="0.55000000000000004">
      <c r="B50" s="108" t="s">
        <v>30</v>
      </c>
      <c r="C50" s="74" t="s">
        <v>235</v>
      </c>
      <c r="D50" s="58" t="s">
        <v>3</v>
      </c>
      <c r="E50" s="59" t="s">
        <v>3</v>
      </c>
      <c r="F50" s="60"/>
      <c r="G50" s="70" t="str">
        <f>HYPERLINK(CONCATENATE(
BASE_URL,
"0x06g-Testing-Network-Communication.md#testing-custom-certificate-stores-and-certificate-pinning"),
"Testing Custom Certificate Stores and SSL Pinning")</f>
        <v>Testing Custom Certificate Stores and SSL Pinning</v>
      </c>
      <c r="H50" s="77"/>
      <c r="I50" s="78"/>
    </row>
    <row r="51" spans="2:9" ht="34.799999999999997" x14ac:dyDescent="0.55000000000000004">
      <c r="B51" s="108" t="s">
        <v>49</v>
      </c>
      <c r="C51" s="74" t="s">
        <v>236</v>
      </c>
      <c r="D51" s="73"/>
      <c r="E51" s="59" t="s">
        <v>3</v>
      </c>
      <c r="F51" s="60" t="s">
        <v>64</v>
      </c>
      <c r="G51" s="70" t="str">
        <f>HYPERLINK(CONCATENATE(
BASE_URL,
"0x06g-Testing-Network-Communication.md#testing-custom-certificate-stores-and-certificate-pinning"),
"Testing Custom Certificate Stores and SSL Pinning")</f>
        <v>Testing Custom Certificate Stores and SSL Pinning</v>
      </c>
      <c r="H51" s="74"/>
      <c r="I51" s="62"/>
    </row>
    <row r="52" spans="2:9" ht="34.799999999999997" x14ac:dyDescent="0.55000000000000004">
      <c r="B52" s="108" t="s">
        <v>31</v>
      </c>
      <c r="C52" s="74" t="s">
        <v>237</v>
      </c>
      <c r="D52" s="73"/>
      <c r="E52" s="59" t="s">
        <v>3</v>
      </c>
      <c r="F52" s="60" t="s">
        <v>64</v>
      </c>
      <c r="G52" s="70" t="str">
        <f>HYPERLINK(CONCATENATE(
BASE_URL,
"0x04f-Testing-Network-Communication.md#making-sure-that-critical-operations-use-secure-communication-channels"),
"Verifying that Critical Operations Use Secure Communication Channels")</f>
        <v>Verifying that Critical Operations Use Secure Communication Channels</v>
      </c>
      <c r="H52" s="74"/>
      <c r="I52" s="62"/>
    </row>
    <row r="53" spans="2:9" x14ac:dyDescent="0.55000000000000004">
      <c r="B53" s="108" t="s">
        <v>105</v>
      </c>
      <c r="C53" s="74" t="s">
        <v>238</v>
      </c>
      <c r="D53" s="73"/>
      <c r="E53" s="59" t="s">
        <v>3</v>
      </c>
      <c r="F53" s="60" t="s">
        <v>64</v>
      </c>
      <c r="G53" s="77" t="str">
        <f>HYPERLINK(CONCATENATE(
BASE_URL,
"0x06i-Testing-Code-Quality-and-Build-Settings.md#checking-for-weaknesses-in-third-party-libraries"),
"Checking for Weaknesses in Third Party Libraries")</f>
        <v>Checking for Weaknesses in Third Party Libraries</v>
      </c>
      <c r="H53" s="74"/>
      <c r="I53" s="62"/>
    </row>
    <row r="54" spans="2:9" x14ac:dyDescent="0.55000000000000004">
      <c r="B54" s="65" t="s">
        <v>32</v>
      </c>
      <c r="C54" s="66" t="s">
        <v>239</v>
      </c>
      <c r="D54" s="67"/>
      <c r="E54" s="68"/>
      <c r="F54" s="67"/>
      <c r="G54" s="66"/>
      <c r="H54" s="66"/>
      <c r="I54" s="69"/>
    </row>
    <row r="55" spans="2:9" x14ac:dyDescent="0.55000000000000004">
      <c r="B55" s="108" t="s">
        <v>50</v>
      </c>
      <c r="C55" s="74" t="s">
        <v>240</v>
      </c>
      <c r="D55" s="58" t="s">
        <v>3</v>
      </c>
      <c r="E55" s="59" t="s">
        <v>3</v>
      </c>
      <c r="F55" s="60"/>
      <c r="G55" s="70" t="str">
        <f>HYPERLINK(CONCATENATE(
BASE_URL,
"0x06h-Testing-Platform-Interaction.md#testing-app-permissions"),
"Testing App Permissions")</f>
        <v>Testing App Permissions</v>
      </c>
      <c r="H55" s="74"/>
      <c r="I55" s="62"/>
    </row>
    <row r="56" spans="2:9" ht="34.799999999999997" x14ac:dyDescent="0.55000000000000004">
      <c r="B56" s="108" t="s">
        <v>51</v>
      </c>
      <c r="C56" s="74" t="s">
        <v>241</v>
      </c>
      <c r="D56" s="58" t="s">
        <v>3</v>
      </c>
      <c r="E56" s="59" t="s">
        <v>3</v>
      </c>
      <c r="F56" s="60"/>
      <c r="G56" s="70" t="str">
        <f>HYPERLINK(CONCATENATE(
BASE_URL,
"0x04h-Testing-Code-Quality.md#injection-flaws"),
"Testing Input Validation and Sanitization")</f>
        <v>Testing Input Validation and Sanitization</v>
      </c>
      <c r="H56" s="74"/>
      <c r="I56" s="62"/>
    </row>
    <row r="57" spans="2:9" x14ac:dyDescent="0.55000000000000004">
      <c r="B57" s="108" t="s">
        <v>52</v>
      </c>
      <c r="C57" s="74" t="s">
        <v>242</v>
      </c>
      <c r="D57" s="58" t="s">
        <v>3</v>
      </c>
      <c r="E57" s="59" t="s">
        <v>3</v>
      </c>
      <c r="F57" s="60"/>
      <c r="G57" s="70" t="str">
        <f>HYPERLINK(CONCATENATE(
BASE_URL,
"0x06h-Testing-Platform-Interaction.md#testing-custom-url-schemes"),
"Testing Custom URL Schemes")</f>
        <v>Testing Custom URL Schemes</v>
      </c>
      <c r="H57" s="74"/>
      <c r="I57" s="62"/>
    </row>
    <row r="58" spans="2:9" x14ac:dyDescent="0.55000000000000004">
      <c r="B58" s="108" t="s">
        <v>53</v>
      </c>
      <c r="C58" s="74" t="s">
        <v>243</v>
      </c>
      <c r="D58" s="58" t="s">
        <v>3</v>
      </c>
      <c r="E58" s="59" t="s">
        <v>3</v>
      </c>
      <c r="F58" s="60"/>
      <c r="G58" s="61" t="str">
        <f>HYPERLINK(CONCATENATE(
BASE_URL,
"0x06h-Testing-Platform-Interaction.md#testing-for-sensitive-functionality-exposure-through-ipc"),
"Testing For Sensitive Functionality Exposure Through IPC")</f>
        <v>Testing For Sensitive Functionality Exposure Through IPC</v>
      </c>
      <c r="H58" s="74"/>
      <c r="I58" s="62"/>
    </row>
    <row r="59" spans="2:9" x14ac:dyDescent="0.55000000000000004">
      <c r="B59" s="108" t="s">
        <v>54</v>
      </c>
      <c r="C59" s="74" t="s">
        <v>244</v>
      </c>
      <c r="D59" s="58" t="s">
        <v>3</v>
      </c>
      <c r="E59" s="59" t="s">
        <v>3</v>
      </c>
      <c r="F59" s="60"/>
      <c r="G59" s="70" t="str">
        <f>HYPERLINK(CONCATENATE(
BASE_URL,
"0x06h-Testing-Platform-Interaction.md#testing-ios-webviews"),
"Testing JavaScript Execution in WebViews")</f>
        <v>Testing JavaScript Execution in WebViews</v>
      </c>
      <c r="H59" s="74"/>
      <c r="I59" s="62"/>
    </row>
    <row r="60" spans="2:9" ht="34.799999999999997" x14ac:dyDescent="0.55000000000000004">
      <c r="B60" s="108" t="s">
        <v>55</v>
      </c>
      <c r="C60" s="74" t="s">
        <v>245</v>
      </c>
      <c r="D60" s="58" t="s">
        <v>3</v>
      </c>
      <c r="E60" s="59" t="s">
        <v>3</v>
      </c>
      <c r="F60" s="60"/>
      <c r="G60" s="70" t="str">
        <f>HYPERLINK(CONCATENATE(
BASE_URL,
"0x06h-Testing-Platform-Interaction.md#testing-webview-protocol-handlers"),
"Testing WebView Protocol Handlers")</f>
        <v>Testing WebView Protocol Handlers</v>
      </c>
      <c r="H60" s="74"/>
      <c r="I60" s="62"/>
    </row>
    <row r="61" spans="2:9" ht="34.799999999999997" x14ac:dyDescent="0.55000000000000004">
      <c r="B61" s="108" t="s">
        <v>104</v>
      </c>
      <c r="C61" s="74" t="s">
        <v>246</v>
      </c>
      <c r="D61" s="58" t="s">
        <v>3</v>
      </c>
      <c r="E61" s="59" t="s">
        <v>3</v>
      </c>
      <c r="F61" s="60"/>
      <c r="G61" s="70" t="str">
        <f>HYPERLINK(CONCATENATE(
BASE_URL,
"0x06h-Testing-Platform-Interaction.md#determining-whether-native-methods-are-exposed-through-webviews"),
"Testing Whether Native Methods Are Exposed Through WebViews")</f>
        <v>Testing Whether Native Methods Are Exposed Through WebViews</v>
      </c>
      <c r="H61" s="74"/>
      <c r="I61" s="62"/>
    </row>
    <row r="62" spans="2:9" x14ac:dyDescent="0.55000000000000004">
      <c r="B62" s="108" t="s">
        <v>103</v>
      </c>
      <c r="C62" s="74" t="s">
        <v>247</v>
      </c>
      <c r="D62" s="58" t="s">
        <v>3</v>
      </c>
      <c r="E62" s="59" t="s">
        <v>3</v>
      </c>
      <c r="F62" s="60"/>
      <c r="G62" s="70" t="str">
        <f>HYPERLINK(CONCATENATE(
BASE_URL,
"0x06h-Testing-Platform-Interaction.md#testing-object-persistence"),
"Testing Object (De-)Serialization")</f>
        <v>Testing Object (De-)Serialization</v>
      </c>
      <c r="H62" s="74"/>
      <c r="I62" s="62"/>
    </row>
    <row r="63" spans="2:9" x14ac:dyDescent="0.55000000000000004">
      <c r="B63" s="65" t="s">
        <v>33</v>
      </c>
      <c r="C63" s="66" t="s">
        <v>248</v>
      </c>
      <c r="D63" s="67"/>
      <c r="E63" s="68"/>
      <c r="F63" s="67"/>
      <c r="G63" s="66"/>
      <c r="H63" s="66"/>
      <c r="I63" s="69"/>
    </row>
    <row r="64" spans="2:9" x14ac:dyDescent="0.55000000000000004">
      <c r="B64" s="108" t="s">
        <v>56</v>
      </c>
      <c r="C64" s="57" t="s">
        <v>249</v>
      </c>
      <c r="D64" s="58" t="s">
        <v>3</v>
      </c>
      <c r="E64" s="59" t="s">
        <v>3</v>
      </c>
      <c r="F64" s="60"/>
      <c r="G64" s="70" t="str">
        <f>HYPERLINK(CONCATENATE(
BASE_URL,
"0x06i-Testing-Code-Quality-and-Build-Settings.md#making-sure-that-the-app-is-properly-signed"),
"Verifying That the App is Properly Signed")</f>
        <v>Verifying That the App is Properly Signed</v>
      </c>
      <c r="H64" s="74"/>
      <c r="I64" s="62"/>
    </row>
    <row r="65" spans="2:9" x14ac:dyDescent="0.55000000000000004">
      <c r="B65" s="108" t="s">
        <v>34</v>
      </c>
      <c r="C65" s="57" t="s">
        <v>250</v>
      </c>
      <c r="D65" s="58" t="s">
        <v>3</v>
      </c>
      <c r="E65" s="59" t="s">
        <v>3</v>
      </c>
      <c r="F65" s="60"/>
      <c r="G65" s="70" t="str">
        <f>HYPERLINK(CONCATENATE(
BASE_URL,
"0x06i-Testing-Code-Quality-and-Build-Settings.md#determining-whether-the-app-is-debuggable"),
"Testing If the App is Debuggable")</f>
        <v>Testing If the App is Debuggable</v>
      </c>
      <c r="H65" s="74"/>
      <c r="I65" s="62"/>
    </row>
    <row r="66" spans="2:9" x14ac:dyDescent="0.55000000000000004">
      <c r="B66" s="108" t="s">
        <v>57</v>
      </c>
      <c r="C66" s="57" t="s">
        <v>251</v>
      </c>
      <c r="D66" s="58" t="s">
        <v>3</v>
      </c>
      <c r="E66" s="59" t="s">
        <v>3</v>
      </c>
      <c r="F66" s="60"/>
      <c r="G66" s="70" t="str">
        <f>HYPERLINK(CONCATENATE(
BASE_URL,
"0x06i-Testing-Code-Quality-and-Build-Settings.md#finding-debugging-symbols"),
"Testing for Debugging Symbols")</f>
        <v>Testing for Debugging Symbols</v>
      </c>
      <c r="H66" s="74"/>
      <c r="I66" s="62"/>
    </row>
    <row r="67" spans="2:9" x14ac:dyDescent="0.55000000000000004">
      <c r="B67" s="108" t="s">
        <v>58</v>
      </c>
      <c r="C67" s="57" t="s">
        <v>252</v>
      </c>
      <c r="D67" s="58" t="s">
        <v>3</v>
      </c>
      <c r="E67" s="59" t="s">
        <v>3</v>
      </c>
      <c r="F67" s="60"/>
      <c r="G67" s="70" t="str">
        <f>HYPERLINK(CONCATENATE(
BASE_URL,
"0x06i-Testing-Code-Quality-and-Build-Settings.md#finding-debugging-code-and-verbose-error-logging"),
"Testing for Debugging Code and Verbose Error Logging")</f>
        <v>Testing for Debugging Code and Verbose Error Logging</v>
      </c>
      <c r="H67" s="74"/>
      <c r="I67" s="62"/>
    </row>
    <row r="68" spans="2:9" ht="34.799999999999997" x14ac:dyDescent="0.55000000000000004">
      <c r="B68" s="108" t="s">
        <v>59</v>
      </c>
      <c r="C68" s="57" t="s">
        <v>253</v>
      </c>
      <c r="D68" s="58" t="s">
        <v>3</v>
      </c>
      <c r="E68" s="59" t="s">
        <v>3</v>
      </c>
      <c r="F68" s="60"/>
      <c r="G68" s="77" t="str">
        <f>HYPERLINK(CONCATENATE(
BASE_URL,
"0x06i-Testing-Code-Quality-and-Build-Settings.md#checking-for-weaknesses-in-third-party-libraries"),
"Testing for Weaknesses in Third Party Libraries")</f>
        <v>Testing for Weaknesses in Third Party Libraries</v>
      </c>
      <c r="H68" s="74"/>
      <c r="I68" s="62"/>
    </row>
    <row r="69" spans="2:9" x14ac:dyDescent="0.55000000000000004">
      <c r="B69" s="108" t="s">
        <v>35</v>
      </c>
      <c r="C69" s="57" t="s">
        <v>254</v>
      </c>
      <c r="D69" s="58" t="s">
        <v>3</v>
      </c>
      <c r="E69" s="59" t="s">
        <v>3</v>
      </c>
      <c r="F69" s="60"/>
      <c r="G69" s="70" t="str">
        <f>HYPERLINK(CONCATENATE(
BASE_URL,
"0x06i-Testing-Code-Quality-and-Build-Settings.md#testing-exception-handling"),
"Testing Exception Handling")</f>
        <v>Testing Exception Handling</v>
      </c>
      <c r="H69" s="74"/>
      <c r="I69" s="62"/>
    </row>
    <row r="70" spans="2:9" x14ac:dyDescent="0.55000000000000004">
      <c r="B70" s="108" t="s">
        <v>36</v>
      </c>
      <c r="C70" s="57" t="s">
        <v>255</v>
      </c>
      <c r="D70" s="58" t="s">
        <v>3</v>
      </c>
      <c r="E70" s="59" t="s">
        <v>3</v>
      </c>
      <c r="F70" s="60"/>
      <c r="G70" s="70" t="str">
        <f>HYPERLINK(CONCATENATE(
BASE_URL,
"0x06i-Testing-Code-Quality-and-Build-Settings.md#testing-exception-handling"),
"Testing  Error Handling in Security Controls")</f>
        <v>Testing  Error Handling in Security Controls</v>
      </c>
      <c r="H70" s="74"/>
      <c r="I70" s="62"/>
    </row>
    <row r="71" spans="2:9" x14ac:dyDescent="0.55000000000000004">
      <c r="B71" s="108" t="s">
        <v>37</v>
      </c>
      <c r="C71" s="57" t="s">
        <v>256</v>
      </c>
      <c r="D71" s="58" t="s">
        <v>3</v>
      </c>
      <c r="E71" s="59" t="s">
        <v>3</v>
      </c>
      <c r="F71" s="60"/>
      <c r="G71" s="70" t="str">
        <f>HYPERLINK(CONCATENATE(
BASE_URL,
"0x06i-Testing-Code-Quality-and-Build-Settings.md#memory-corruption-bugs"),
"Testing for Memory Management Bugs")</f>
        <v>Testing for Memory Management Bugs</v>
      </c>
      <c r="H71" s="74"/>
      <c r="I71" s="62"/>
    </row>
    <row r="72" spans="2:9" ht="34.799999999999997" x14ac:dyDescent="0.55000000000000004">
      <c r="B72" s="108" t="s">
        <v>93</v>
      </c>
      <c r="C72" s="57" t="s">
        <v>257</v>
      </c>
      <c r="D72" s="58" t="s">
        <v>3</v>
      </c>
      <c r="E72" s="59" t="s">
        <v>3</v>
      </c>
      <c r="F72" s="60"/>
      <c r="G72" s="70" t="str">
        <f>HYPERLINK(CONCATENATE(
BASE_URL,
"0x06i-Testing-Code-Quality-and-Build-Settings.md#make-sure-that-free-security-features-are-activated"),
"Verifying usage of Free Security Features")</f>
        <v>Verifying usage of Free Security Features</v>
      </c>
      <c r="H72" s="74"/>
      <c r="I72" s="62"/>
    </row>
    <row r="73" spans="2:9" x14ac:dyDescent="0.55000000000000004">
      <c r="B73" s="81"/>
      <c r="C73" s="82"/>
      <c r="D73" s="83"/>
      <c r="E73" s="83"/>
      <c r="F73" s="83"/>
      <c r="G73" s="82"/>
      <c r="H73" s="99"/>
      <c r="I73" s="100"/>
    </row>
    <row r="74" spans="2:9" x14ac:dyDescent="0.55000000000000004">
      <c r="B74" s="101"/>
      <c r="C74" s="102"/>
      <c r="D74" s="28"/>
      <c r="E74" s="28"/>
      <c r="F74" s="28"/>
      <c r="G74" s="102"/>
      <c r="H74" s="61"/>
      <c r="I74" s="102"/>
    </row>
    <row r="75" spans="2:9" x14ac:dyDescent="0.55000000000000004">
      <c r="B75" s="101"/>
      <c r="C75" s="102"/>
      <c r="D75" s="28"/>
      <c r="E75" s="28"/>
      <c r="F75" s="28"/>
      <c r="G75" s="98"/>
      <c r="H75" s="61"/>
      <c r="I75" s="102"/>
    </row>
    <row r="76" spans="2:9" x14ac:dyDescent="0.55000000000000004">
      <c r="B76" s="101"/>
      <c r="C76" s="102"/>
      <c r="D76" s="28"/>
      <c r="E76" s="28"/>
      <c r="F76" s="28"/>
      <c r="G76" s="102"/>
      <c r="H76" s="61"/>
      <c r="I76" s="102"/>
    </row>
    <row r="77" spans="2:9" x14ac:dyDescent="0.55000000000000004">
      <c r="B77" s="103" t="s">
        <v>276</v>
      </c>
      <c r="C77" s="102"/>
      <c r="D77" s="28"/>
      <c r="E77" s="28"/>
      <c r="F77" s="28"/>
      <c r="G77" s="102"/>
      <c r="H77" s="61"/>
      <c r="I77" s="102"/>
    </row>
    <row r="78" spans="2:9" x14ac:dyDescent="0.55000000000000004">
      <c r="B78" s="87" t="s">
        <v>277</v>
      </c>
      <c r="C78" s="88" t="s">
        <v>278</v>
      </c>
      <c r="D78" s="28"/>
      <c r="E78" s="28"/>
      <c r="F78" s="28"/>
      <c r="G78" s="102"/>
      <c r="H78" s="61"/>
      <c r="I78" s="102"/>
    </row>
    <row r="79" spans="2:9" x14ac:dyDescent="0.55000000000000004">
      <c r="B79" s="89" t="s">
        <v>68</v>
      </c>
      <c r="C79" s="90" t="s">
        <v>279</v>
      </c>
      <c r="D79" s="28"/>
      <c r="E79" s="28"/>
      <c r="F79" s="28"/>
      <c r="G79" s="102"/>
      <c r="H79" s="61"/>
      <c r="I79" s="102"/>
    </row>
    <row r="80" spans="2:9" x14ac:dyDescent="0.55000000000000004">
      <c r="B80" s="89" t="s">
        <v>69</v>
      </c>
      <c r="C80" s="90" t="s">
        <v>280</v>
      </c>
      <c r="D80" s="28"/>
      <c r="E80" s="28"/>
      <c r="F80" s="28"/>
      <c r="G80" s="102"/>
      <c r="H80" s="61"/>
      <c r="I80" s="102"/>
    </row>
    <row r="81" spans="2:9" x14ac:dyDescent="0.55000000000000004">
      <c r="B81" s="89" t="s">
        <v>64</v>
      </c>
      <c r="C81" s="90" t="s">
        <v>281</v>
      </c>
      <c r="D81" s="28"/>
      <c r="E81" s="28"/>
      <c r="F81" s="28"/>
      <c r="G81" s="102"/>
      <c r="H81" s="61"/>
      <c r="I81" s="102"/>
    </row>
    <row r="82" spans="2:9" x14ac:dyDescent="0.55000000000000004">
      <c r="B82" s="101"/>
      <c r="C82" s="102"/>
      <c r="D82" s="28"/>
      <c r="E82" s="28"/>
      <c r="F82" s="28"/>
      <c r="G82" s="102"/>
      <c r="H82" s="61"/>
      <c r="I82" s="102"/>
    </row>
    <row r="83" spans="2:9" x14ac:dyDescent="0.55000000000000004">
      <c r="B83" s="101"/>
      <c r="C83" s="102"/>
      <c r="D83" s="28"/>
      <c r="E83" s="28"/>
      <c r="F83" s="28"/>
      <c r="G83" s="102"/>
      <c r="H83" s="61"/>
      <c r="I83" s="102"/>
    </row>
    <row r="84" spans="2:9" x14ac:dyDescent="0.55000000000000004">
      <c r="B84" s="101"/>
      <c r="C84" s="102"/>
      <c r="D84" s="28"/>
      <c r="E84" s="28"/>
      <c r="F84" s="28"/>
      <c r="G84" s="102"/>
      <c r="H84" s="61"/>
      <c r="I84" s="102"/>
    </row>
    <row r="85" spans="2:9" x14ac:dyDescent="0.55000000000000004">
      <c r="B85" s="101"/>
      <c r="C85" s="102"/>
      <c r="D85" s="28"/>
      <c r="E85" s="28"/>
      <c r="F85" s="28"/>
      <c r="G85" s="102"/>
      <c r="H85" s="61"/>
      <c r="I85" s="102"/>
    </row>
  </sheetData>
  <mergeCells count="1">
    <mergeCell ref="G3:H3"/>
  </mergeCells>
  <phoneticPr fontId="12"/>
  <conditionalFormatting sqref="K1:K1048576">
    <cfRule type="containsText" dxfId="9" priority="2" operator="containsText" text="0x05">
      <formula>NOT(ISERROR(SEARCH("0x05",K1)))</formula>
    </cfRule>
  </conditionalFormatting>
  <conditionalFormatting sqref="G1:G26 G28:G1048576">
    <cfRule type="containsText" dxfId="8" priority="1" operator="containsText" text="0x05">
      <formula>NOT(ISERROR(SEARCH("0x05",G1)))</formula>
    </cfRule>
  </conditionalFormatting>
  <dataValidations count="2">
    <dataValidation type="list" allowBlank="1" showInputMessage="1" showErrorMessage="1" sqref="F74:F1048576 H74:I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27" r:id="rId1" location="testing-user-education" display="https://github.com/OWASP/owasp-mstg/blob/1.1.0/Document/0x04i-Testing-user-interaction.md - testing-user-education" xr:uid="{3C190139-796B-A245-B60E-3DEAEE40B5CA}"/>
  </hyperlinks>
  <pageMargins left="0.74803149606299213" right="0.74803149606299213" top="0.98425196850393704" bottom="0.98425196850393704" header="0.51181102362204722" footer="0.51181102362204722"/>
  <pageSetup paperSize="9" scale="35" fitToHeight="0" orientation="landscape" horizontalDpi="4294967292" verticalDpi="4294967292" r:id="rId2"/>
  <rowBreaks count="1" manualBreakCount="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G32"/>
  <sheetViews>
    <sheetView showGridLines="0" zoomScaleNormal="100" zoomScalePageLayoutView="130" workbookViewId="0"/>
  </sheetViews>
  <sheetFormatPr defaultColWidth="10.9140625" defaultRowHeight="19.2" x14ac:dyDescent="0.55000000000000004"/>
  <cols>
    <col min="1" max="1" width="1.5" style="19" customWidth="1"/>
    <col min="2" max="2" width="7.1640625" style="95" customWidth="1"/>
    <col min="3" max="3" width="93.1640625" style="94" customWidth="1"/>
    <col min="4" max="4" width="2.9140625" style="19" customWidth="1"/>
    <col min="5" max="5" width="5.6640625" style="19" customWidth="1"/>
    <col min="6" max="6" width="42.4140625" style="102" customWidth="1"/>
    <col min="7" max="7" width="30.58203125" style="94" customWidth="1"/>
    <col min="8" max="16384" width="10.9140625" style="19"/>
  </cols>
  <sheetData>
    <row r="1" spans="2:7" ht="21.6" x14ac:dyDescent="0.6">
      <c r="B1" s="93" t="s">
        <v>283</v>
      </c>
      <c r="G1" s="102"/>
    </row>
    <row r="2" spans="2:7" x14ac:dyDescent="0.55000000000000004">
      <c r="G2" s="102"/>
    </row>
    <row r="3" spans="2:7" x14ac:dyDescent="0.55000000000000004">
      <c r="B3" s="49" t="s">
        <v>0</v>
      </c>
      <c r="C3" s="50" t="s">
        <v>259</v>
      </c>
      <c r="D3" s="51" t="s">
        <v>38</v>
      </c>
      <c r="E3" s="51" t="s">
        <v>184</v>
      </c>
      <c r="F3" s="52" t="s">
        <v>260</v>
      </c>
      <c r="G3" s="52" t="s">
        <v>284</v>
      </c>
    </row>
    <row r="4" spans="2:7" x14ac:dyDescent="0.55000000000000004">
      <c r="B4" s="65"/>
      <c r="C4" s="66" t="s">
        <v>261</v>
      </c>
      <c r="D4" s="67"/>
      <c r="E4" s="67"/>
      <c r="F4" s="66"/>
      <c r="G4" s="69"/>
    </row>
    <row r="5" spans="2:7" ht="34.799999999999997" x14ac:dyDescent="0.55000000000000004">
      <c r="B5" s="108" t="s">
        <v>113</v>
      </c>
      <c r="C5" s="74" t="s">
        <v>262</v>
      </c>
      <c r="D5" s="92" t="s">
        <v>3</v>
      </c>
      <c r="E5" s="60" t="s">
        <v>64</v>
      </c>
      <c r="F5" s="71" t="str">
        <f>HYPERLINK(CONCATENATE(
BASE_URL,
"0x06j-Testing-Resiliency-Against-Reverse-Engineering.md#jailbreak-detection"),
"Testing Jailbreak Detection")</f>
        <v>Testing Jailbreak Detection</v>
      </c>
      <c r="G5" s="62"/>
    </row>
    <row r="6" spans="2:7" ht="34.799999999999997" x14ac:dyDescent="0.55000000000000004">
      <c r="B6" s="108" t="s">
        <v>114</v>
      </c>
      <c r="C6" s="74" t="s">
        <v>263</v>
      </c>
      <c r="D6" s="92" t="s">
        <v>3</v>
      </c>
      <c r="E6" s="60" t="s">
        <v>64</v>
      </c>
      <c r="F6" s="71" t="str">
        <f>HYPERLINK(CONCATENATE(
BASE_URL,
"0x06j-Testing-Resiliency-Against-Reverse-Engineering.md#anti-debugging-checks"),
"Testing Debugging Defenses")</f>
        <v>Testing Debugging Defenses</v>
      </c>
      <c r="G6" s="62"/>
    </row>
    <row r="7" spans="2:7" x14ac:dyDescent="0.55000000000000004">
      <c r="B7" s="108" t="s">
        <v>115</v>
      </c>
      <c r="C7" s="74" t="s">
        <v>264</v>
      </c>
      <c r="D7" s="92" t="s">
        <v>3</v>
      </c>
      <c r="E7" s="60" t="s">
        <v>64</v>
      </c>
      <c r="F7" s="71" t="str">
        <f>HYPERLINK(CONCATENATE(
BASE_URL,
"0x06j-Testing-Resiliency-Against-Reverse-Engineering.md#file-integrity-checks"),
"Testing File Integrity Checks")</f>
        <v>Testing File Integrity Checks</v>
      </c>
      <c r="G7" s="62"/>
    </row>
    <row r="8" spans="2:7" ht="34.799999999999997" x14ac:dyDescent="0.55000000000000004">
      <c r="B8" s="108" t="s">
        <v>116</v>
      </c>
      <c r="C8" s="74" t="s">
        <v>265</v>
      </c>
      <c r="D8" s="92" t="s">
        <v>3</v>
      </c>
      <c r="E8" s="60" t="s">
        <v>64</v>
      </c>
      <c r="F8" s="61" t="s">
        <v>79</v>
      </c>
      <c r="G8" s="62"/>
    </row>
    <row r="9" spans="2:7" x14ac:dyDescent="0.55000000000000004">
      <c r="B9" s="108" t="s">
        <v>117</v>
      </c>
      <c r="C9" s="74" t="s">
        <v>266</v>
      </c>
      <c r="D9" s="92" t="s">
        <v>3</v>
      </c>
      <c r="E9" s="60" t="s">
        <v>64</v>
      </c>
      <c r="F9" s="61" t="s">
        <v>79</v>
      </c>
      <c r="G9" s="62"/>
    </row>
    <row r="10" spans="2:7" x14ac:dyDescent="0.55000000000000004">
      <c r="B10" s="108" t="s">
        <v>118</v>
      </c>
      <c r="C10" s="74" t="s">
        <v>267</v>
      </c>
      <c r="D10" s="92" t="s">
        <v>3</v>
      </c>
      <c r="E10" s="60" t="s">
        <v>64</v>
      </c>
      <c r="F10" s="61" t="s">
        <v>79</v>
      </c>
      <c r="G10" s="62"/>
    </row>
    <row r="11" spans="2:7" ht="34.799999999999997" x14ac:dyDescent="0.55000000000000004">
      <c r="B11" s="108" t="s">
        <v>119</v>
      </c>
      <c r="C11" s="74" t="s">
        <v>268</v>
      </c>
      <c r="D11" s="92" t="s">
        <v>3</v>
      </c>
      <c r="E11" s="60" t="s">
        <v>64</v>
      </c>
      <c r="F11" s="61" t="s">
        <v>79</v>
      </c>
      <c r="G11" s="62"/>
    </row>
    <row r="12" spans="2:7" x14ac:dyDescent="0.55000000000000004">
      <c r="B12" s="108" t="s">
        <v>120</v>
      </c>
      <c r="C12" s="74" t="s">
        <v>269</v>
      </c>
      <c r="D12" s="92" t="s">
        <v>3</v>
      </c>
      <c r="E12" s="60" t="s">
        <v>64</v>
      </c>
      <c r="F12" s="61" t="s">
        <v>79</v>
      </c>
      <c r="G12" s="62"/>
    </row>
    <row r="13" spans="2:7" x14ac:dyDescent="0.55000000000000004">
      <c r="B13" s="108" t="s">
        <v>95</v>
      </c>
      <c r="C13" s="74" t="s">
        <v>270</v>
      </c>
      <c r="D13" s="92" t="s">
        <v>3</v>
      </c>
      <c r="E13" s="60" t="s">
        <v>64</v>
      </c>
      <c r="F13" s="61" t="s">
        <v>79</v>
      </c>
      <c r="G13" s="62"/>
    </row>
    <row r="14" spans="2:7" x14ac:dyDescent="0.55000000000000004">
      <c r="B14" s="65"/>
      <c r="C14" s="66" t="s">
        <v>271</v>
      </c>
      <c r="D14" s="67"/>
      <c r="E14" s="67"/>
      <c r="F14" s="66"/>
      <c r="G14" s="69"/>
    </row>
    <row r="15" spans="2:7" ht="34.799999999999997" x14ac:dyDescent="0.55000000000000004">
      <c r="B15" s="109" t="s">
        <v>60</v>
      </c>
      <c r="C15" s="74" t="s">
        <v>272</v>
      </c>
      <c r="D15" s="92" t="s">
        <v>3</v>
      </c>
      <c r="E15" s="60" t="s">
        <v>64</v>
      </c>
      <c r="F15" s="71" t="str">
        <f>HYPERLINK(CONCATENATE(
BASE_URL,
"0x06j-Testing-Resiliency-Against-Reverse-Engineering.md#device-binding"),
"Testing Device Binding")</f>
        <v>Testing Device Binding</v>
      </c>
      <c r="G15" s="62"/>
    </row>
    <row r="16" spans="2:7" x14ac:dyDescent="0.55000000000000004">
      <c r="B16" s="65"/>
      <c r="C16" s="66" t="s">
        <v>273</v>
      </c>
      <c r="D16" s="67"/>
      <c r="E16" s="67"/>
      <c r="F16" s="66"/>
      <c r="G16" s="69"/>
    </row>
    <row r="17" spans="2:7" ht="34.799999999999997" x14ac:dyDescent="0.55000000000000004">
      <c r="B17" s="108" t="s">
        <v>121</v>
      </c>
      <c r="C17" s="74" t="s">
        <v>274</v>
      </c>
      <c r="D17" s="92" t="s">
        <v>3</v>
      </c>
      <c r="E17" s="60" t="s">
        <v>64</v>
      </c>
      <c r="F17" s="61" t="s">
        <v>79</v>
      </c>
      <c r="G17" s="62"/>
    </row>
    <row r="18" spans="2:7" ht="52.2" x14ac:dyDescent="0.55000000000000004">
      <c r="B18" s="108" t="s">
        <v>122</v>
      </c>
      <c r="C18" s="74" t="s">
        <v>275</v>
      </c>
      <c r="D18" s="92" t="s">
        <v>3</v>
      </c>
      <c r="E18" s="60" t="s">
        <v>64</v>
      </c>
      <c r="F18" s="61" t="s">
        <v>79</v>
      </c>
      <c r="G18" s="62"/>
    </row>
    <row r="19" spans="2:7" x14ac:dyDescent="0.55000000000000004">
      <c r="B19" s="81"/>
      <c r="C19" s="82"/>
      <c r="D19" s="83"/>
      <c r="E19" s="83"/>
      <c r="F19" s="84"/>
      <c r="G19" s="84"/>
    </row>
    <row r="20" spans="2:7" x14ac:dyDescent="0.55000000000000004">
      <c r="B20" s="101"/>
      <c r="C20" s="102"/>
      <c r="D20" s="28"/>
      <c r="E20" s="28"/>
      <c r="G20" s="102"/>
    </row>
    <row r="21" spans="2:7" x14ac:dyDescent="0.55000000000000004">
      <c r="B21" s="101"/>
      <c r="C21" s="102"/>
      <c r="D21" s="28"/>
      <c r="E21" s="28"/>
      <c r="G21" s="102"/>
    </row>
    <row r="22" spans="2:7" x14ac:dyDescent="0.55000000000000004">
      <c r="B22" s="103" t="s">
        <v>276</v>
      </c>
      <c r="C22" s="102"/>
      <c r="D22" s="28"/>
      <c r="E22" s="28"/>
      <c r="G22" s="102"/>
    </row>
    <row r="23" spans="2:7" x14ac:dyDescent="0.55000000000000004">
      <c r="B23" s="87" t="s">
        <v>277</v>
      </c>
      <c r="C23" s="88" t="s">
        <v>278</v>
      </c>
      <c r="D23" s="28"/>
      <c r="E23" s="28"/>
      <c r="G23" s="102"/>
    </row>
    <row r="24" spans="2:7" x14ac:dyDescent="0.55000000000000004">
      <c r="B24" s="89" t="s">
        <v>68</v>
      </c>
      <c r="C24" s="90" t="s">
        <v>279</v>
      </c>
      <c r="D24" s="28"/>
      <c r="E24" s="28"/>
      <c r="G24" s="102"/>
    </row>
    <row r="25" spans="2:7" x14ac:dyDescent="0.55000000000000004">
      <c r="B25" s="89" t="s">
        <v>69</v>
      </c>
      <c r="C25" s="90" t="s">
        <v>280</v>
      </c>
      <c r="D25" s="28"/>
      <c r="E25" s="28"/>
      <c r="G25" s="102"/>
    </row>
    <row r="26" spans="2:7" x14ac:dyDescent="0.55000000000000004">
      <c r="B26" s="89" t="s">
        <v>64</v>
      </c>
      <c r="C26" s="90" t="s">
        <v>281</v>
      </c>
      <c r="D26" s="28"/>
      <c r="E26" s="28"/>
      <c r="G26" s="102"/>
    </row>
    <row r="27" spans="2:7" x14ac:dyDescent="0.55000000000000004">
      <c r="B27" s="101"/>
      <c r="C27" s="102"/>
      <c r="D27" s="28"/>
      <c r="E27" s="28"/>
      <c r="G27" s="102"/>
    </row>
    <row r="28" spans="2:7" x14ac:dyDescent="0.55000000000000004">
      <c r="B28" s="101"/>
      <c r="C28" s="102"/>
      <c r="D28" s="28"/>
      <c r="E28" s="28"/>
      <c r="G28" s="102"/>
    </row>
    <row r="29" spans="2:7" x14ac:dyDescent="0.55000000000000004">
      <c r="B29" s="101"/>
      <c r="C29" s="102"/>
      <c r="D29" s="28"/>
      <c r="E29" s="28"/>
      <c r="G29" s="102"/>
    </row>
    <row r="30" spans="2:7" x14ac:dyDescent="0.55000000000000004">
      <c r="B30" s="101"/>
      <c r="C30" s="102"/>
      <c r="D30" s="28"/>
      <c r="E30" s="28"/>
    </row>
    <row r="31" spans="2:7" x14ac:dyDescent="0.55000000000000004">
      <c r="B31" s="101"/>
      <c r="C31" s="102"/>
      <c r="D31" s="28"/>
      <c r="E31" s="28"/>
    </row>
    <row r="32" spans="2:7" x14ac:dyDescent="0.55000000000000004">
      <c r="B32" s="101"/>
      <c r="C32" s="102"/>
      <c r="D32" s="28"/>
      <c r="E32" s="28"/>
    </row>
  </sheetData>
  <phoneticPr fontId="12"/>
  <conditionalFormatting sqref="F8">
    <cfRule type="containsText" dxfId="7" priority="8" operator="containsText" text="0x05">
      <formula>NOT(ISERROR(SEARCH("0x05",F8)))</formula>
    </cfRule>
  </conditionalFormatting>
  <conditionalFormatting sqref="F9">
    <cfRule type="containsText" dxfId="6" priority="7" operator="containsText" text="0x05">
      <formula>NOT(ISERROR(SEARCH("0x05",F9)))</formula>
    </cfRule>
  </conditionalFormatting>
  <conditionalFormatting sqref="F10">
    <cfRule type="containsText" dxfId="5" priority="6" operator="containsText" text="0x05">
      <formula>NOT(ISERROR(SEARCH("0x05",F10)))</formula>
    </cfRule>
  </conditionalFormatting>
  <conditionalFormatting sqref="F11">
    <cfRule type="containsText" dxfId="4" priority="5" operator="containsText" text="0x05">
      <formula>NOT(ISERROR(SEARCH("0x05",F11)))</formula>
    </cfRule>
  </conditionalFormatting>
  <conditionalFormatting sqref="F12">
    <cfRule type="containsText" dxfId="3" priority="4" operator="containsText" text="0x05">
      <formula>NOT(ISERROR(SEARCH("0x05",F12)))</formula>
    </cfRule>
  </conditionalFormatting>
  <conditionalFormatting sqref="F13">
    <cfRule type="containsText" dxfId="2" priority="3" operator="containsText" text="0x05">
      <formula>NOT(ISERROR(SEARCH("0x05",F13)))</formula>
    </cfRule>
  </conditionalFormatting>
  <conditionalFormatting sqref="F17">
    <cfRule type="containsText" dxfId="1" priority="2" operator="containsText" text="0x05">
      <formula>NOT(ISERROR(SEARCH("0x05",F17)))</formula>
    </cfRule>
  </conditionalFormatting>
  <conditionalFormatting sqref="F18">
    <cfRule type="containsText" dxfId="0" priority="1" operator="containsText" text="0x05">
      <formula>NOT(ISERROR(SEARCH("0x05",F18)))</formula>
    </cfRule>
  </conditionalFormatting>
  <dataValidations count="1">
    <dataValidation type="list" allowBlank="1" showInputMessage="1" showErrorMessage="1" sqref="E15 E17:E18 E5:E13" xr:uid="{00000000-0002-0000-0500-000000000000}">
      <formula1>"Pass,Fail,N/A"</formula1>
    </dataValidation>
  </dataValidations>
  <pageMargins left="0.74803149606299213" right="0.74803149606299213" top="0.98425196850393704" bottom="0.98425196850393704" header="0.51181102362204722" footer="0.51181102362204722"/>
  <pageSetup paperSize="9" scale="53" fitToHeight="0"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E21"/>
  <sheetViews>
    <sheetView showGridLines="0" zoomScale="84" workbookViewId="0">
      <selection sqref="A1:B1"/>
    </sheetView>
  </sheetViews>
  <sheetFormatPr defaultColWidth="10.9140625" defaultRowHeight="19.2" x14ac:dyDescent="0.55000000000000004"/>
  <cols>
    <col min="1" max="1" width="33.1640625" customWidth="1"/>
    <col min="3" max="3" width="13.58203125" customWidth="1"/>
    <col min="5" max="5" width="119.58203125" customWidth="1"/>
  </cols>
  <sheetData>
    <row r="1" spans="1:5" x14ac:dyDescent="0.55000000000000004">
      <c r="A1" s="155" t="s">
        <v>61</v>
      </c>
      <c r="B1" s="155"/>
      <c r="C1" s="10"/>
      <c r="D1" s="1"/>
      <c r="E1" s="1"/>
    </row>
    <row r="2" spans="1:5" x14ac:dyDescent="0.55000000000000004">
      <c r="A2" s="5" t="s">
        <v>81</v>
      </c>
      <c r="B2" s="5" t="s">
        <v>65</v>
      </c>
      <c r="C2" s="5" t="s">
        <v>101</v>
      </c>
      <c r="D2" s="5" t="s">
        <v>82</v>
      </c>
      <c r="E2" s="6" t="s">
        <v>67</v>
      </c>
    </row>
    <row r="3" spans="1:5" x14ac:dyDescent="0.55000000000000004">
      <c r="A3" s="3" t="s">
        <v>62</v>
      </c>
      <c r="B3" s="7">
        <v>0.1</v>
      </c>
      <c r="C3" s="7"/>
      <c r="D3" s="4">
        <v>42765</v>
      </c>
      <c r="E3" s="2" t="s">
        <v>83</v>
      </c>
    </row>
    <row r="4" spans="1:5" x14ac:dyDescent="0.55000000000000004">
      <c r="A4" s="2" t="s">
        <v>63</v>
      </c>
      <c r="B4" s="7">
        <v>0.2</v>
      </c>
      <c r="C4" s="7"/>
      <c r="D4" s="4">
        <v>42766</v>
      </c>
      <c r="E4" s="2" t="s">
        <v>84</v>
      </c>
    </row>
    <row r="5" spans="1:5" x14ac:dyDescent="0.55000000000000004">
      <c r="A5" s="2" t="s">
        <v>77</v>
      </c>
      <c r="B5" s="7">
        <v>0.3</v>
      </c>
      <c r="C5" s="7"/>
      <c r="D5" s="4">
        <v>42778</v>
      </c>
      <c r="E5" s="2" t="s">
        <v>85</v>
      </c>
    </row>
    <row r="6" spans="1:5" x14ac:dyDescent="0.55000000000000004">
      <c r="A6" s="2" t="s">
        <v>78</v>
      </c>
      <c r="B6" s="7" t="s">
        <v>80</v>
      </c>
      <c r="C6" s="7"/>
      <c r="D6" s="4">
        <v>42780</v>
      </c>
      <c r="E6" s="2" t="s">
        <v>86</v>
      </c>
    </row>
    <row r="7" spans="1:5" x14ac:dyDescent="0.55000000000000004">
      <c r="A7" s="2" t="s">
        <v>63</v>
      </c>
      <c r="B7" s="8" t="s">
        <v>87</v>
      </c>
      <c r="C7" s="8"/>
      <c r="D7" s="4">
        <v>42781</v>
      </c>
      <c r="E7" s="2" t="s">
        <v>88</v>
      </c>
    </row>
    <row r="8" spans="1:5" x14ac:dyDescent="0.55000000000000004">
      <c r="A8" s="2" t="s">
        <v>78</v>
      </c>
      <c r="B8" s="8" t="s">
        <v>89</v>
      </c>
      <c r="C8" s="8"/>
      <c r="D8" s="4">
        <v>42829</v>
      </c>
      <c r="E8" s="2" t="s">
        <v>90</v>
      </c>
    </row>
    <row r="9" spans="1:5" x14ac:dyDescent="0.55000000000000004">
      <c r="A9" s="2" t="s">
        <v>63</v>
      </c>
      <c r="B9" s="8" t="s">
        <v>89</v>
      </c>
      <c r="C9" s="8"/>
      <c r="D9" s="4">
        <v>42919</v>
      </c>
      <c r="E9" s="2" t="s">
        <v>92</v>
      </c>
    </row>
    <row r="10" spans="1:5" x14ac:dyDescent="0.55000000000000004">
      <c r="A10" s="2" t="s">
        <v>63</v>
      </c>
      <c r="B10" s="8" t="s">
        <v>96</v>
      </c>
      <c r="C10" s="8"/>
      <c r="D10" s="4">
        <v>42963</v>
      </c>
      <c r="E10" s="2" t="s">
        <v>94</v>
      </c>
    </row>
    <row r="11" spans="1:5" x14ac:dyDescent="0.55000000000000004">
      <c r="A11" s="2" t="s">
        <v>63</v>
      </c>
      <c r="B11" s="9" t="s">
        <v>97</v>
      </c>
      <c r="C11" s="9"/>
      <c r="D11" s="4">
        <v>43113</v>
      </c>
      <c r="E11" s="2" t="s">
        <v>98</v>
      </c>
    </row>
    <row r="12" spans="1:5" x14ac:dyDescent="0.55000000000000004">
      <c r="A12" s="2" t="s">
        <v>63</v>
      </c>
      <c r="B12" s="9">
        <v>1.1000000000000001</v>
      </c>
      <c r="C12" s="9"/>
      <c r="D12" s="4">
        <v>43289</v>
      </c>
      <c r="E12" s="2" t="s">
        <v>99</v>
      </c>
    </row>
    <row r="13" spans="1:5" x14ac:dyDescent="0.55000000000000004">
      <c r="A13" s="12" t="s">
        <v>124</v>
      </c>
      <c r="B13" s="13" t="s">
        <v>127</v>
      </c>
      <c r="C13" s="17"/>
      <c r="D13" s="14">
        <v>43464</v>
      </c>
      <c r="E13" s="15" t="s">
        <v>125</v>
      </c>
    </row>
    <row r="14" spans="1:5" x14ac:dyDescent="0.55000000000000004">
      <c r="A14" s="12" t="s">
        <v>126</v>
      </c>
      <c r="B14" s="13" t="s">
        <v>128</v>
      </c>
      <c r="C14" s="17"/>
      <c r="D14" s="14">
        <v>43469</v>
      </c>
      <c r="E14" s="15" t="s">
        <v>125</v>
      </c>
    </row>
    <row r="15" spans="1:5" ht="409.05" customHeight="1" x14ac:dyDescent="0.55000000000000004">
      <c r="A15" s="11" t="s">
        <v>102</v>
      </c>
      <c r="B15" s="9" t="s">
        <v>130</v>
      </c>
      <c r="C15" s="9" t="s">
        <v>100</v>
      </c>
      <c r="D15" s="4">
        <v>43471</v>
      </c>
      <c r="E15" s="11" t="s">
        <v>123</v>
      </c>
    </row>
    <row r="16" spans="1:5" x14ac:dyDescent="0.55000000000000004">
      <c r="A16" s="12" t="s">
        <v>124</v>
      </c>
      <c r="B16" s="13" t="s">
        <v>131</v>
      </c>
      <c r="C16" s="9" t="s">
        <v>100</v>
      </c>
      <c r="D16" s="16">
        <v>43475</v>
      </c>
      <c r="E16" s="15" t="s">
        <v>129</v>
      </c>
    </row>
    <row r="17" spans="1:5" ht="96" x14ac:dyDescent="0.55000000000000004">
      <c r="A17" s="11" t="s">
        <v>102</v>
      </c>
      <c r="B17" s="13" t="s">
        <v>132</v>
      </c>
      <c r="C17" s="9" t="s">
        <v>100</v>
      </c>
      <c r="D17" s="4">
        <v>43476</v>
      </c>
      <c r="E17" s="18" t="s">
        <v>134</v>
      </c>
    </row>
    <row r="18" spans="1:5" ht="57.6" x14ac:dyDescent="0.55000000000000004">
      <c r="A18" s="11" t="s">
        <v>102</v>
      </c>
      <c r="B18" s="13" t="s">
        <v>133</v>
      </c>
      <c r="C18" s="9" t="s">
        <v>100</v>
      </c>
      <c r="D18" s="4">
        <v>43478</v>
      </c>
      <c r="E18" s="18" t="s">
        <v>135</v>
      </c>
    </row>
    <row r="19" spans="1:5" ht="57.6" x14ac:dyDescent="0.55000000000000004">
      <c r="A19" s="11" t="s">
        <v>102</v>
      </c>
      <c r="B19" s="13" t="s">
        <v>136</v>
      </c>
      <c r="C19" s="9" t="s">
        <v>100</v>
      </c>
      <c r="D19" s="4">
        <v>43478</v>
      </c>
      <c r="E19" s="18" t="s">
        <v>137</v>
      </c>
    </row>
    <row r="20" spans="1:5" ht="134.4" x14ac:dyDescent="0.55000000000000004">
      <c r="A20" s="11" t="s">
        <v>124</v>
      </c>
      <c r="B20" s="13" t="s">
        <v>288</v>
      </c>
      <c r="C20" s="157" t="s">
        <v>289</v>
      </c>
      <c r="D20" s="14">
        <v>43641</v>
      </c>
      <c r="E20" s="18" t="s">
        <v>290</v>
      </c>
    </row>
    <row r="21" spans="1:5" x14ac:dyDescent="0.55000000000000004">
      <c r="A21" s="11" t="s">
        <v>124</v>
      </c>
      <c r="B21" s="13" t="s">
        <v>291</v>
      </c>
      <c r="C21" s="157" t="s">
        <v>100</v>
      </c>
      <c r="D21" s="14">
        <v>43642</v>
      </c>
      <c r="E21" s="18" t="s">
        <v>292</v>
      </c>
    </row>
  </sheetData>
  <mergeCells count="1">
    <mergeCell ref="A1:B1"/>
  </mergeCells>
  <phoneticPr fontId="12"/>
  <pageMargins left="0.74803149606299213" right="0.74803149606299213" top="0.98425196850393704" bottom="0.98425196850393704" header="0.51181102362204722" footer="0.51181102362204722"/>
  <pageSetup paperSize="9" scale="3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245A-5B79-4CE2-B482-7457AF475DE7}">
  <sheetPr>
    <pageSetUpPr fitToPage="1"/>
  </sheetPr>
  <dimension ref="A1:E5"/>
  <sheetViews>
    <sheetView showGridLines="0" workbookViewId="0">
      <selection sqref="A1:B1"/>
    </sheetView>
  </sheetViews>
  <sheetFormatPr defaultColWidth="11.08203125" defaultRowHeight="19.2" x14ac:dyDescent="0.55000000000000004"/>
  <cols>
    <col min="1" max="1" width="30.5" style="19" customWidth="1"/>
    <col min="2" max="4" width="11.08203125" style="19"/>
    <col min="5" max="5" width="70.6640625" style="19" customWidth="1"/>
    <col min="6" max="16384" width="11.08203125" style="19"/>
  </cols>
  <sheetData>
    <row r="1" spans="1:5" x14ac:dyDescent="0.55000000000000004">
      <c r="A1" s="156" t="s">
        <v>285</v>
      </c>
      <c r="B1" s="156"/>
      <c r="C1" s="110"/>
    </row>
    <row r="2" spans="1:5" x14ac:dyDescent="0.55000000000000004">
      <c r="A2" s="104" t="s">
        <v>81</v>
      </c>
      <c r="B2" s="104" t="s">
        <v>65</v>
      </c>
      <c r="C2" s="104" t="s">
        <v>101</v>
      </c>
      <c r="D2" s="104" t="s">
        <v>82</v>
      </c>
      <c r="E2" s="104" t="s">
        <v>67</v>
      </c>
    </row>
    <row r="3" spans="1:5" x14ac:dyDescent="0.55000000000000004">
      <c r="A3" s="106" t="s">
        <v>177</v>
      </c>
      <c r="B3" s="107" t="s">
        <v>179</v>
      </c>
      <c r="C3" s="107" t="s">
        <v>211</v>
      </c>
      <c r="D3" s="105">
        <v>43402</v>
      </c>
      <c r="E3" s="106" t="s">
        <v>286</v>
      </c>
    </row>
    <row r="4" spans="1:5" x14ac:dyDescent="0.55000000000000004">
      <c r="A4" s="106" t="s">
        <v>177</v>
      </c>
      <c r="B4" s="107" t="s">
        <v>178</v>
      </c>
      <c r="C4" s="107" t="s">
        <v>211</v>
      </c>
      <c r="D4" s="105">
        <v>43590</v>
      </c>
      <c r="E4" s="106" t="s">
        <v>287</v>
      </c>
    </row>
    <row r="5" spans="1:5" x14ac:dyDescent="0.55000000000000004">
      <c r="A5" s="106" t="s">
        <v>177</v>
      </c>
      <c r="B5" s="107" t="s">
        <v>178</v>
      </c>
      <c r="C5" s="107" t="s">
        <v>297</v>
      </c>
      <c r="D5" s="105">
        <v>43643</v>
      </c>
      <c r="E5" s="106" t="s">
        <v>298</v>
      </c>
    </row>
  </sheetData>
  <mergeCells count="1">
    <mergeCell ref="A1:B1"/>
  </mergeCells>
  <phoneticPr fontId="12"/>
  <pageMargins left="0.74803149606299213" right="0.74803149606299213" top="0.98425196850393704" bottom="0.98425196850393704" header="0.51181102362204722" footer="0.51181102362204722"/>
  <pageSetup paperSize="9" scale="4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Dashboard</vt:lpstr>
      <vt:lpstr>Management Summary</vt:lpstr>
      <vt:lpstr>Security Requirements - Android</vt:lpstr>
      <vt:lpstr>Anti-RE - Android</vt:lpstr>
      <vt:lpstr>Security Requirements - iOS</vt:lpstr>
      <vt:lpstr>Anti-RE - iOS</vt:lpstr>
      <vt:lpstr>Version history</vt:lpstr>
      <vt:lpstr>Version history (Japanese)</vt:lpstr>
      <vt:lpstr>BASE_URL</vt:lpstr>
      <vt:lpstr>MASVS_VERSION</vt:lpstr>
      <vt:lpstr>MSTG_VERSION</vt:lpstr>
      <vt:lpstr>'Security Requirements - Android'!Print_Titles</vt:lpstr>
      <vt:lpstr>'Security Requirements - iOS'!Print_Titles</vt:lpstr>
      <vt:lpstr>'Version history'!Print_Titles</vt:lpstr>
      <vt:lpstr>'Version history (Japanese)'!Print_Titles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coky</cp:lastModifiedBy>
  <cp:lastPrinted>2019-05-05T13:55:32Z</cp:lastPrinted>
  <dcterms:created xsi:type="dcterms:W3CDTF">2017-01-25T17:37:15Z</dcterms:created>
  <dcterms:modified xsi:type="dcterms:W3CDTF">2019-06-27T14:29:04Z</dcterms:modified>
</cp:coreProperties>
</file>