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500a5\Downloads\"/>
    </mc:Choice>
  </mc:AlternateContent>
  <bookViews>
    <workbookView xWindow="0" yWindow="0" windowWidth="21576" windowHeight="8796" activeTab="2"/>
  </bookViews>
  <sheets>
    <sheet name="Лист1" sheetId="1" r:id="rId1"/>
    <sheet name="Лист2" sheetId="2" r:id="rId2"/>
    <sheet name="Лист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I17" i="3" l="1"/>
  <c r="AI18" i="3"/>
  <c r="AI19" i="3"/>
  <c r="AI20" i="3"/>
  <c r="AI21" i="3"/>
  <c r="AI22" i="3"/>
  <c r="AI23" i="3"/>
  <c r="AI24" i="3"/>
  <c r="AI25" i="3"/>
  <c r="AI26" i="3"/>
  <c r="AI16" i="3"/>
  <c r="AI6" i="3"/>
  <c r="AH17" i="3"/>
  <c r="AH18" i="3"/>
  <c r="AH19" i="3"/>
  <c r="AH20" i="3"/>
  <c r="AH21" i="3"/>
  <c r="AH22" i="3"/>
  <c r="AH23" i="3"/>
  <c r="AH24" i="3"/>
  <c r="AH25" i="3"/>
  <c r="AH16" i="3"/>
  <c r="AG17" i="3"/>
  <c r="AG18" i="3"/>
  <c r="AG19" i="3"/>
  <c r="AG20" i="3"/>
  <c r="AG21" i="3"/>
  <c r="AG22" i="3"/>
  <c r="AG23" i="3"/>
  <c r="AG24" i="3"/>
  <c r="AG25" i="3"/>
  <c r="AG16" i="3"/>
  <c r="AF17" i="3"/>
  <c r="AF18" i="3"/>
  <c r="AF19" i="3"/>
  <c r="AF20" i="3"/>
  <c r="AF21" i="3"/>
  <c r="AF22" i="3"/>
  <c r="AF23" i="3"/>
  <c r="AF24" i="3"/>
  <c r="AF25" i="3"/>
  <c r="AF16" i="3"/>
  <c r="AE17" i="3"/>
  <c r="AE18" i="3"/>
  <c r="AE19" i="3"/>
  <c r="AE20" i="3"/>
  <c r="AE21" i="3"/>
  <c r="AE22" i="3"/>
  <c r="AE23" i="3"/>
  <c r="AE24" i="3"/>
  <c r="AE25" i="3"/>
  <c r="AE16" i="3"/>
  <c r="AD17" i="3"/>
  <c r="AD18" i="3"/>
  <c r="AD19" i="3"/>
  <c r="AD20" i="3"/>
  <c r="AD21" i="3"/>
  <c r="AD22" i="3"/>
  <c r="AD23" i="3"/>
  <c r="AD24" i="3"/>
  <c r="AD25" i="3"/>
  <c r="AD26" i="3"/>
  <c r="AD16" i="3"/>
  <c r="AI5" i="3"/>
  <c r="AI7" i="3"/>
  <c r="AI8" i="3"/>
  <c r="AI9" i="3"/>
  <c r="AI4" i="3"/>
  <c r="AH5" i="3"/>
  <c r="AH6" i="3"/>
  <c r="AH7" i="3"/>
  <c r="AH8" i="3"/>
  <c r="AH4" i="3"/>
  <c r="AG5" i="3"/>
  <c r="AG6" i="3"/>
  <c r="AG7" i="3"/>
  <c r="AG8" i="3"/>
  <c r="AG4" i="3"/>
  <c r="AF5" i="3"/>
  <c r="AF6" i="3"/>
  <c r="AF7" i="3"/>
  <c r="AF8" i="3"/>
  <c r="AF4" i="3"/>
  <c r="AE4" i="3"/>
  <c r="AE5" i="3"/>
  <c r="AE6" i="3"/>
  <c r="AE7" i="3"/>
  <c r="AE8" i="3"/>
  <c r="AD5" i="3"/>
  <c r="AD6" i="3"/>
  <c r="AD7" i="3"/>
  <c r="AD8" i="3"/>
  <c r="AD9" i="3"/>
  <c r="AD4" i="3"/>
  <c r="X4" i="3"/>
  <c r="W4" i="3"/>
  <c r="Y16" i="3"/>
  <c r="Y17" i="3"/>
  <c r="Y18" i="3"/>
  <c r="Y19" i="3"/>
  <c r="Y20" i="3"/>
  <c r="Y21" i="3"/>
  <c r="Y22" i="3"/>
  <c r="Y23" i="3"/>
  <c r="Y24" i="3"/>
  <c r="Y15" i="3"/>
  <c r="V16" i="3"/>
  <c r="V17" i="3"/>
  <c r="V18" i="3"/>
  <c r="V19" i="3"/>
  <c r="V20" i="3"/>
  <c r="V21" i="3"/>
  <c r="V22" i="3"/>
  <c r="V23" i="3"/>
  <c r="V24" i="3"/>
  <c r="V15" i="3"/>
  <c r="U25" i="3"/>
  <c r="U24" i="3"/>
  <c r="U23" i="3"/>
  <c r="U22" i="3"/>
  <c r="U21" i="3"/>
  <c r="U20" i="3"/>
  <c r="U19" i="3"/>
  <c r="U18" i="3"/>
  <c r="U17" i="3"/>
  <c r="U16" i="3"/>
  <c r="U15" i="3"/>
  <c r="Y5" i="3"/>
  <c r="Y6" i="3"/>
  <c r="Y7" i="3"/>
  <c r="Y8" i="3"/>
  <c r="Y4" i="3"/>
  <c r="X6" i="3"/>
  <c r="W9" i="3"/>
  <c r="V4" i="3"/>
  <c r="V5" i="3"/>
  <c r="V6" i="3"/>
  <c r="V7" i="3"/>
  <c r="V8" i="3"/>
  <c r="U9" i="3"/>
  <c r="U8" i="3"/>
  <c r="U7" i="3"/>
  <c r="U6" i="3"/>
  <c r="U5" i="3"/>
  <c r="U4" i="3"/>
  <c r="P16" i="3"/>
  <c r="P17" i="3"/>
  <c r="P18" i="3"/>
  <c r="P19" i="3"/>
  <c r="P20" i="3"/>
  <c r="P21" i="3"/>
  <c r="P22" i="3"/>
  <c r="P23" i="3"/>
  <c r="P24" i="3"/>
  <c r="P15" i="3"/>
  <c r="P5" i="3"/>
  <c r="P6" i="3"/>
  <c r="P7" i="3"/>
  <c r="P8" i="3"/>
  <c r="P4" i="3"/>
  <c r="M16" i="3"/>
  <c r="M17" i="3"/>
  <c r="M18" i="3"/>
  <c r="M19" i="3"/>
  <c r="M20" i="3"/>
  <c r="M21" i="3"/>
  <c r="M22" i="3"/>
  <c r="M23" i="3"/>
  <c r="M24" i="3"/>
  <c r="M15" i="3"/>
  <c r="L15" i="3"/>
  <c r="L16" i="3"/>
  <c r="L17" i="3"/>
  <c r="L18" i="3"/>
  <c r="L19" i="3"/>
  <c r="L20" i="3"/>
  <c r="L21" i="3"/>
  <c r="L22" i="3"/>
  <c r="L23" i="3"/>
  <c r="L24" i="3"/>
  <c r="L25" i="3"/>
  <c r="O4" i="3"/>
  <c r="D15" i="3"/>
  <c r="D16" i="3"/>
  <c r="D17" i="3"/>
  <c r="D18" i="3"/>
  <c r="D19" i="3"/>
  <c r="D20" i="3"/>
  <c r="D21" i="3"/>
  <c r="D22" i="3"/>
  <c r="D23" i="3"/>
  <c r="D24" i="3"/>
  <c r="D14" i="3"/>
  <c r="D5" i="3"/>
  <c r="D6" i="3"/>
  <c r="D7" i="3"/>
  <c r="D8" i="3"/>
  <c r="D9" i="3"/>
  <c r="D4" i="3"/>
  <c r="O6" i="3"/>
  <c r="N7" i="3"/>
  <c r="N5" i="3"/>
  <c r="M5" i="3"/>
  <c r="M6" i="3"/>
  <c r="M7" i="3"/>
  <c r="M8" i="3"/>
  <c r="M4" i="3"/>
  <c r="L9" i="3"/>
  <c r="L8" i="3"/>
  <c r="L7" i="3"/>
  <c r="L6" i="3"/>
  <c r="L5" i="3"/>
  <c r="L4" i="3"/>
  <c r="AJ6" i="3" l="1"/>
  <c r="AK6" i="3" s="1"/>
  <c r="O11" i="3"/>
  <c r="O12" i="3" s="1"/>
  <c r="E15" i="3" l="1"/>
  <c r="E16" i="3"/>
  <c r="E17" i="3"/>
  <c r="E18" i="3"/>
  <c r="E19" i="3"/>
  <c r="E20" i="3"/>
  <c r="E21" i="3"/>
  <c r="E22" i="3"/>
  <c r="E23" i="3"/>
  <c r="E24" i="3"/>
  <c r="E14" i="3"/>
  <c r="E4" i="3"/>
  <c r="E5" i="3"/>
  <c r="E6" i="3"/>
  <c r="E7" i="3"/>
  <c r="E8" i="3"/>
  <c r="E9" i="3"/>
  <c r="F16" i="3" l="1"/>
  <c r="AK16" i="3"/>
  <c r="AJ19" i="3"/>
  <c r="AK19" i="3" s="1"/>
  <c r="AJ20" i="3"/>
  <c r="AK20" i="3" s="1"/>
  <c r="AJ21" i="3"/>
  <c r="AK21" i="3" s="1"/>
  <c r="AJ23" i="3"/>
  <c r="AK23" i="3" s="1"/>
  <c r="AJ25" i="3"/>
  <c r="AK25" i="3" s="1"/>
  <c r="AJ17" i="3"/>
  <c r="AK17" i="3" s="1"/>
  <c r="AJ24" i="3"/>
  <c r="AJ22" i="3"/>
  <c r="AK22" i="3" s="1"/>
  <c r="AJ18" i="3"/>
  <c r="AK18" i="3" s="1"/>
  <c r="AJ8" i="3"/>
  <c r="AJ7" i="3"/>
  <c r="AJ9" i="3"/>
  <c r="AK9" i="3" s="1"/>
  <c r="AK24" i="3" l="1"/>
  <c r="AJ4" i="3"/>
  <c r="F8" i="3"/>
  <c r="G8" i="3" s="1"/>
  <c r="F5" i="3"/>
  <c r="G5" i="3" s="1"/>
  <c r="F6" i="3"/>
  <c r="G6" i="3" s="1"/>
  <c r="F7" i="3"/>
  <c r="G7" i="3" s="1"/>
  <c r="F9" i="3"/>
  <c r="G9" i="3" s="1"/>
  <c r="C6" i="3"/>
  <c r="C7" i="3" s="1"/>
  <c r="C8" i="3" s="1"/>
  <c r="C9" i="3" s="1"/>
  <c r="C5" i="3"/>
  <c r="AJ26" i="3"/>
  <c r="AK26" i="3" s="1"/>
  <c r="AC18" i="3"/>
  <c r="AC19" i="3" s="1"/>
  <c r="AC20" i="3" s="1"/>
  <c r="AC21" i="3" s="1"/>
  <c r="AC22" i="3" s="1"/>
  <c r="AC23" i="3" s="1"/>
  <c r="AC24" i="3" s="1"/>
  <c r="AC25" i="3" s="1"/>
  <c r="AC26" i="3" s="1"/>
  <c r="AC17" i="3"/>
  <c r="AC6" i="3"/>
  <c r="AC7" i="3" s="1"/>
  <c r="AC8" i="3" s="1"/>
  <c r="AC9" i="3" s="1"/>
  <c r="AC5" i="3"/>
  <c r="X17" i="3"/>
  <c r="X18" i="3"/>
  <c r="X20" i="3"/>
  <c r="X21" i="3"/>
  <c r="X22" i="3"/>
  <c r="X25" i="3"/>
  <c r="W16" i="3"/>
  <c r="W17" i="3"/>
  <c r="W18" i="3"/>
  <c r="W19" i="3"/>
  <c r="W20" i="3"/>
  <c r="W21" i="3"/>
  <c r="W22" i="3"/>
  <c r="W23" i="3"/>
  <c r="W24" i="3"/>
  <c r="W25" i="3"/>
  <c r="W15" i="3"/>
  <c r="X16" i="3"/>
  <c r="X15" i="3"/>
  <c r="X19" i="3"/>
  <c r="X23" i="3"/>
  <c r="X24" i="3"/>
  <c r="X9" i="3"/>
  <c r="W5" i="3"/>
  <c r="W6" i="3"/>
  <c r="W7" i="3"/>
  <c r="W8" i="3"/>
  <c r="T6" i="3"/>
  <c r="T7" i="3"/>
  <c r="X7" i="3" s="1"/>
  <c r="T16" i="3"/>
  <c r="T5" i="3"/>
  <c r="O17" i="3"/>
  <c r="O19" i="3"/>
  <c r="O21" i="3"/>
  <c r="O23" i="3"/>
  <c r="O25" i="3"/>
  <c r="N16" i="3"/>
  <c r="N17" i="3"/>
  <c r="N18" i="3"/>
  <c r="N19" i="3"/>
  <c r="N20" i="3"/>
  <c r="N21" i="3"/>
  <c r="N22" i="3"/>
  <c r="N23" i="3"/>
  <c r="N24" i="3"/>
  <c r="N25" i="3"/>
  <c r="N15" i="3"/>
  <c r="O16" i="3"/>
  <c r="O18" i="3"/>
  <c r="O20" i="3"/>
  <c r="O22" i="3"/>
  <c r="O24" i="3"/>
  <c r="K24" i="3"/>
  <c r="K25" i="3" s="1"/>
  <c r="K17" i="3"/>
  <c r="K18" i="3" s="1"/>
  <c r="K19" i="3" s="1"/>
  <c r="K20" i="3" s="1"/>
  <c r="K21" i="3" s="1"/>
  <c r="K22" i="3" s="1"/>
  <c r="K23" i="3" s="1"/>
  <c r="K16" i="3"/>
  <c r="O9" i="3"/>
  <c r="O5" i="3"/>
  <c r="O7" i="3"/>
  <c r="O8" i="3"/>
  <c r="N6" i="3"/>
  <c r="N8" i="3"/>
  <c r="N9" i="3"/>
  <c r="N4" i="3"/>
  <c r="K6" i="3"/>
  <c r="K7" i="3"/>
  <c r="K8" i="3" s="1"/>
  <c r="K9" i="3" s="1"/>
  <c r="K5" i="3"/>
  <c r="F22" i="3"/>
  <c r="F4" i="3"/>
  <c r="G4" i="3" s="1"/>
  <c r="F15" i="3"/>
  <c r="F19" i="3"/>
  <c r="G19" i="3" s="1"/>
  <c r="F20" i="3"/>
  <c r="G20" i="3" s="1"/>
  <c r="F21" i="3"/>
  <c r="G21" i="3" s="1"/>
  <c r="F23" i="3"/>
  <c r="G23" i="3" s="1"/>
  <c r="F24" i="3"/>
  <c r="G24" i="3" s="1"/>
  <c r="C24" i="3"/>
  <c r="C21" i="3"/>
  <c r="C22" i="3"/>
  <c r="C23" i="3" s="1"/>
  <c r="C16" i="3"/>
  <c r="C17" i="3"/>
  <c r="C18" i="3" s="1"/>
  <c r="C19" i="3" s="1"/>
  <c r="C20" i="3" s="1"/>
  <c r="C15" i="3"/>
  <c r="F14" i="3"/>
  <c r="AI29" i="3" l="1"/>
  <c r="AI28" i="3"/>
  <c r="AK4" i="3"/>
  <c r="X27" i="3"/>
  <c r="F11" i="3"/>
  <c r="F10" i="3"/>
  <c r="T8" i="3"/>
  <c r="T17" i="3"/>
  <c r="X5" i="3"/>
  <c r="G22" i="3"/>
  <c r="G14" i="3"/>
  <c r="G15" i="3"/>
  <c r="V18" i="1"/>
  <c r="T11" i="1"/>
  <c r="V2" i="1"/>
  <c r="V5" i="1" s="1"/>
  <c r="V15" i="1"/>
  <c r="T24" i="1"/>
  <c r="S15" i="1"/>
  <c r="S16" i="1"/>
  <c r="S17" i="1"/>
  <c r="R17" i="1"/>
  <c r="R18" i="1"/>
  <c r="R19" i="1"/>
  <c r="R20" i="1"/>
  <c r="R21" i="1"/>
  <c r="R22" i="1"/>
  <c r="R23" i="1"/>
  <c r="R16" i="1"/>
  <c r="Q27" i="1"/>
  <c r="AD5" i="1"/>
  <c r="AE5" i="1" s="1"/>
  <c r="E22" i="1"/>
  <c r="E23" i="1"/>
  <c r="E21" i="1"/>
  <c r="D22" i="1"/>
  <c r="D23" i="1"/>
  <c r="D21" i="1"/>
  <c r="AM5" i="1"/>
  <c r="AM10" i="1"/>
  <c r="AJ3" i="1"/>
  <c r="AJ4" i="1"/>
  <c r="AJ5" i="1"/>
  <c r="AJ6" i="1"/>
  <c r="AJ7" i="1"/>
  <c r="AJ8" i="1"/>
  <c r="AJ9" i="1"/>
  <c r="AJ10" i="1"/>
  <c r="AJ2" i="1"/>
  <c r="AI4" i="1"/>
  <c r="AI5" i="1" s="1"/>
  <c r="AI6" i="1" s="1"/>
  <c r="AI7" i="1" s="1"/>
  <c r="AI8" i="1" s="1"/>
  <c r="AI9" i="1" s="1"/>
  <c r="AI10" i="1" s="1"/>
  <c r="AI3" i="1"/>
  <c r="AH14" i="1"/>
  <c r="AD2" i="1"/>
  <c r="AD10" i="1"/>
  <c r="AA3" i="1"/>
  <c r="AA4" i="1"/>
  <c r="AA5" i="1"/>
  <c r="AA6" i="1"/>
  <c r="AA7" i="1"/>
  <c r="AA8" i="1"/>
  <c r="AA9" i="1"/>
  <c r="AA10" i="1"/>
  <c r="AA2" i="1"/>
  <c r="Y14" i="1"/>
  <c r="Z3" i="1" s="1"/>
  <c r="S2" i="1"/>
  <c r="S10" i="1"/>
  <c r="S3" i="1"/>
  <c r="S4" i="1"/>
  <c r="S5" i="1"/>
  <c r="S6" i="1"/>
  <c r="S7" i="1"/>
  <c r="S8" i="1"/>
  <c r="S9" i="1"/>
  <c r="R3" i="1"/>
  <c r="R4" i="1" s="1"/>
  <c r="R5" i="1" s="1"/>
  <c r="R6" i="1" s="1"/>
  <c r="R7" i="1" s="1"/>
  <c r="R8" i="1" s="1"/>
  <c r="R9" i="1" s="1"/>
  <c r="R10" i="1" s="1"/>
  <c r="N2" i="1"/>
  <c r="L13" i="1"/>
  <c r="L3" i="1"/>
  <c r="L4" i="1"/>
  <c r="L5" i="1"/>
  <c r="L6" i="1"/>
  <c r="L7" i="1"/>
  <c r="L8" i="1"/>
  <c r="L9" i="1"/>
  <c r="L10" i="1"/>
  <c r="L11" i="1"/>
  <c r="K3" i="1"/>
  <c r="K4" i="1"/>
  <c r="K5" i="1"/>
  <c r="K6" i="1"/>
  <c r="K7" i="1"/>
  <c r="K8" i="1"/>
  <c r="K9" i="1"/>
  <c r="K10" i="1"/>
  <c r="K11" i="1"/>
  <c r="K2" i="1"/>
  <c r="L2" i="1" s="1"/>
  <c r="J4" i="1"/>
  <c r="J5" i="1" s="1"/>
  <c r="J6" i="1" s="1"/>
  <c r="J7" i="1" s="1"/>
  <c r="J8" i="1" s="1"/>
  <c r="J9" i="1" s="1"/>
  <c r="J10" i="1" s="1"/>
  <c r="J11" i="1" s="1"/>
  <c r="J12" i="1" s="1"/>
  <c r="J3" i="1"/>
  <c r="G5" i="1"/>
  <c r="F5" i="1"/>
  <c r="F2" i="1"/>
  <c r="D11" i="1"/>
  <c r="D3" i="1"/>
  <c r="D4" i="1"/>
  <c r="D5" i="1"/>
  <c r="D6" i="1"/>
  <c r="D7" i="1"/>
  <c r="D8" i="1"/>
  <c r="D9" i="1"/>
  <c r="D2" i="1"/>
  <c r="C3" i="1"/>
  <c r="C4" i="1"/>
  <c r="C5" i="1"/>
  <c r="C6" i="1"/>
  <c r="C7" i="1"/>
  <c r="C8" i="1"/>
  <c r="C9" i="1"/>
  <c r="C2" i="1"/>
  <c r="B4" i="1"/>
  <c r="B5" i="1"/>
  <c r="B6" i="1" s="1"/>
  <c r="B7" i="1" s="1"/>
  <c r="B8" i="1" s="1"/>
  <c r="B9" i="1" s="1"/>
  <c r="B10" i="1" s="1"/>
  <c r="B3" i="1"/>
  <c r="T9" i="3" l="1"/>
  <c r="X8" i="3"/>
  <c r="X11" i="3" s="1"/>
  <c r="X12" i="3" s="1"/>
  <c r="T18" i="3"/>
  <c r="G16" i="3"/>
  <c r="F17" i="3"/>
  <c r="F22" i="1"/>
  <c r="AN5" i="1"/>
  <c r="Z4" i="1"/>
  <c r="W5" i="1"/>
  <c r="N5" i="1"/>
  <c r="O5" i="1" s="1"/>
  <c r="G17" i="3" l="1"/>
  <c r="T19" i="3"/>
  <c r="F18" i="3"/>
  <c r="G26" i="3" s="1"/>
  <c r="S18" i="1"/>
  <c r="Z5" i="1"/>
  <c r="T20" i="3" l="1"/>
  <c r="G18" i="3"/>
  <c r="G27" i="3" s="1"/>
  <c r="S19" i="1"/>
  <c r="Z6" i="1"/>
  <c r="AJ5" i="3" l="1"/>
  <c r="AI11" i="3" s="1"/>
  <c r="T21" i="3"/>
  <c r="S20" i="1"/>
  <c r="Z7" i="1"/>
  <c r="AK5" i="3" l="1"/>
  <c r="T22" i="3"/>
  <c r="S21" i="1"/>
  <c r="Z8" i="1"/>
  <c r="AK8" i="3" l="1"/>
  <c r="T23" i="3"/>
  <c r="S23" i="1"/>
  <c r="S22" i="1"/>
  <c r="AK11" i="1"/>
  <c r="Z9" i="1"/>
  <c r="AK7" i="3" l="1"/>
  <c r="AI12" i="3" s="1"/>
  <c r="T24" i="3"/>
  <c r="W18" i="1"/>
  <c r="Z10" i="1"/>
  <c r="AB11" i="1"/>
  <c r="T25" i="3" l="1"/>
  <c r="X28" i="3" l="1"/>
  <c r="O15" i="3"/>
  <c r="O27" i="3"/>
  <c r="O28" i="3" s="1"/>
</calcChain>
</file>

<file path=xl/sharedStrings.xml><?xml version="1.0" encoding="utf-8"?>
<sst xmlns="http://schemas.openxmlformats.org/spreadsheetml/2006/main" count="173" uniqueCount="43">
  <si>
    <t>i</t>
  </si>
  <si>
    <t>x</t>
  </si>
  <si>
    <t>y</t>
  </si>
  <si>
    <t>SYMM =</t>
  </si>
  <si>
    <t>АБС</t>
  </si>
  <si>
    <t>ОТН</t>
  </si>
  <si>
    <t>h =</t>
  </si>
  <si>
    <t>m =</t>
  </si>
  <si>
    <t>A</t>
  </si>
  <si>
    <t>t</t>
  </si>
  <si>
    <t xml:space="preserve">Число пар в отношении </t>
  </si>
  <si>
    <t>Алгоритм объединения степеней</t>
  </si>
  <si>
    <t>Алгоритм Уоршалла</t>
  </si>
  <si>
    <t>min</t>
  </si>
  <si>
    <t>max</t>
  </si>
  <si>
    <t>N^2 / 4</t>
  </si>
  <si>
    <t>N^2 / 2</t>
  </si>
  <si>
    <t>N^2</t>
  </si>
  <si>
    <t>N^2 *(2 / 3)</t>
  </si>
  <si>
    <t>N = 50</t>
  </si>
  <si>
    <t>N = 100</t>
  </si>
  <si>
    <t>N = 150</t>
  </si>
  <si>
    <t>X</t>
  </si>
  <si>
    <t>Y</t>
  </si>
  <si>
    <t>ф</t>
  </si>
  <si>
    <t>Абс</t>
  </si>
  <si>
    <t>Абс ср.</t>
  </si>
  <si>
    <t>Отн</t>
  </si>
  <si>
    <t>Отн ср.</t>
  </si>
  <si>
    <t>X+h</t>
  </si>
  <si>
    <t>Y+hf</t>
  </si>
  <si>
    <t>f</t>
  </si>
  <si>
    <t>Э-К</t>
  </si>
  <si>
    <t>М-М-Э</t>
  </si>
  <si>
    <t>X+h/2</t>
  </si>
  <si>
    <t>Y+hf/2</t>
  </si>
  <si>
    <t>М-Р-К</t>
  </si>
  <si>
    <t>m'</t>
  </si>
  <si>
    <t>m''</t>
  </si>
  <si>
    <t>m'''</t>
  </si>
  <si>
    <t>m''''</t>
  </si>
  <si>
    <t>Y(М-Р-К)</t>
  </si>
  <si>
    <t>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</si>
</sst>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0000000"/>
    <numFmt numFmtId="165" formatCode="0.00000"/>
    <numFmt numFmtId="166" formatCode="0.000"/>
    <numFmt numFmtId="167" formatCode="0.0000"/>
  </numFmts>
  <fonts count="5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right"/>
    </xf>
    <xf numFmtId="0" fontId="2" fillId="0" borderId="5" xfId="0" applyFon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/>
    <xf numFmtId="0" fontId="0" fillId="0" borderId="7" xfId="0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2" fillId="0" borderId="3" xfId="0" applyFont="1" applyBorder="1" applyAlignment="1">
      <alignment horizontal="right"/>
    </xf>
    <xf numFmtId="0" fontId="0" fillId="0" borderId="9" xfId="0" applyBorder="1" applyAlignment="1">
      <alignment horizontal="center" vertical="center"/>
    </xf>
    <xf numFmtId="0" fontId="0" fillId="0" borderId="10" xfId="0" applyBorder="1"/>
    <xf numFmtId="0" fontId="2" fillId="0" borderId="0" xfId="0" applyFont="1" applyAlignment="1">
      <alignment horizontal="right"/>
    </xf>
    <xf numFmtId="10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6" fontId="0" fillId="0" borderId="0" xfId="0" quotePrefix="1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right"/>
    </xf>
    <xf numFmtId="0" fontId="3" fillId="0" borderId="6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10" fontId="0" fillId="0" borderId="14" xfId="0" applyNumberFormat="1" applyBorder="1" applyAlignment="1">
      <alignment horizontal="center" vertical="center"/>
    </xf>
    <xf numFmtId="165" fontId="0" fillId="0" borderId="12" xfId="0" applyNumberForma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67" fontId="4" fillId="0" borderId="1" xfId="0" applyNumberFormat="1" applyFont="1" applyBorder="1" applyAlignment="1">
      <alignment horizontal="center" vertical="center"/>
    </xf>
    <xf numFmtId="167" fontId="4" fillId="0" borderId="1" xfId="0" applyNumberFormat="1" applyFont="1" applyBorder="1" applyAlignment="1">
      <alignment horizontal="center"/>
    </xf>
    <xf numFmtId="167" fontId="4" fillId="0" borderId="1" xfId="0" applyNumberFormat="1" applyFont="1" applyBorder="1"/>
    <xf numFmtId="2" fontId="4" fillId="0" borderId="1" xfId="0" applyNumberFormat="1" applyFont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167" fontId="4" fillId="0" borderId="6" xfId="0" applyNumberFormat="1" applyFont="1" applyBorder="1"/>
    <xf numFmtId="2" fontId="0" fillId="0" borderId="1" xfId="0" applyNumberFormat="1" applyBorder="1" applyAlignment="1">
      <alignment horizontal="center" vertical="center"/>
    </xf>
    <xf numFmtId="0" fontId="3" fillId="0" borderId="15" xfId="0" applyFont="1" applyBorder="1" applyAlignment="1">
      <alignment horizontal="right"/>
    </xf>
    <xf numFmtId="0" fontId="3" fillId="0" borderId="16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10" fontId="0" fillId="0" borderId="0" xfId="0" applyNumberFormat="1"/>
    <xf numFmtId="0" fontId="2" fillId="0" borderId="1" xfId="0" applyFont="1" applyFill="1" applyBorder="1" applyAlignment="1">
      <alignment horizontal="center" vertical="center"/>
    </xf>
    <xf numFmtId="10" fontId="2" fillId="0" borderId="1" xfId="0" applyNumberFormat="1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7"/>
  <sheetViews>
    <sheetView topLeftCell="T1" workbookViewId="0">
      <selection activeCell="AD2" sqref="AD2"/>
    </sheetView>
  </sheetViews>
  <sheetFormatPr defaultRowHeight="14.4" x14ac:dyDescent="0.3"/>
  <cols>
    <col min="3" max="3" width="13.21875" bestFit="1" customWidth="1"/>
    <col min="6" max="6" width="9.6640625" customWidth="1"/>
    <col min="7" max="7" width="9.77734375" customWidth="1"/>
    <col min="20" max="20" width="10.21875" customWidth="1"/>
    <col min="22" max="22" width="10.6640625" customWidth="1"/>
    <col min="27" max="27" width="12.5546875" customWidth="1"/>
    <col min="30" max="30" width="13.33203125" bestFit="1" customWidth="1"/>
    <col min="39" max="39" width="12" bestFit="1" customWidth="1"/>
  </cols>
  <sheetData>
    <row r="1" spans="1:40" ht="16.2" thickBot="1" x14ac:dyDescent="0.35">
      <c r="A1" s="5" t="s">
        <v>0</v>
      </c>
      <c r="B1" s="5" t="s">
        <v>1</v>
      </c>
      <c r="C1" s="7" t="s">
        <v>2</v>
      </c>
      <c r="D1" s="2"/>
      <c r="I1" s="5" t="s">
        <v>0</v>
      </c>
      <c r="J1" s="5" t="s">
        <v>1</v>
      </c>
      <c r="K1" s="7" t="s">
        <v>2</v>
      </c>
      <c r="L1" s="2"/>
      <c r="Q1" s="5" t="s">
        <v>0</v>
      </c>
      <c r="R1" s="5" t="s">
        <v>1</v>
      </c>
      <c r="S1" s="7" t="s">
        <v>2</v>
      </c>
      <c r="T1" s="2"/>
      <c r="Y1" s="5" t="s">
        <v>0</v>
      </c>
      <c r="Z1" s="5" t="s">
        <v>1</v>
      </c>
      <c r="AA1" s="7" t="s">
        <v>2</v>
      </c>
      <c r="AB1" s="2"/>
      <c r="AH1" s="5" t="s">
        <v>0</v>
      </c>
      <c r="AI1" s="5" t="s">
        <v>1</v>
      </c>
      <c r="AJ1" s="7" t="s">
        <v>2</v>
      </c>
      <c r="AK1" s="2"/>
    </row>
    <row r="2" spans="1:40" ht="16.2" thickBot="1" x14ac:dyDescent="0.35">
      <c r="A2" s="6">
        <v>0</v>
      </c>
      <c r="B2" s="6">
        <v>1</v>
      </c>
      <c r="C2" s="6">
        <f>$B$2+(A2+0.5)*0.5</f>
        <v>1.25</v>
      </c>
      <c r="D2" s="6">
        <f>C2^2 + 2*C2 +1</f>
        <v>5.0625</v>
      </c>
      <c r="F2" s="11">
        <f>D11/2</f>
        <v>69.25</v>
      </c>
      <c r="I2" s="6">
        <v>0</v>
      </c>
      <c r="J2" s="6">
        <v>1</v>
      </c>
      <c r="K2" s="6">
        <f>$B$2+(I2+0.5)*0.4</f>
        <v>1.2</v>
      </c>
      <c r="L2" s="6">
        <f>K2^2 + 2*K2 +1</f>
        <v>4.84</v>
      </c>
      <c r="N2" s="11">
        <f>L13*0.4</f>
        <v>69.280000000000015</v>
      </c>
      <c r="Q2" s="6">
        <v>0</v>
      </c>
      <c r="R2" s="6">
        <v>1</v>
      </c>
      <c r="S2" s="15">
        <f>R2^2 + 2*R2 +1</f>
        <v>4</v>
      </c>
      <c r="T2" s="17"/>
      <c r="U2" s="1"/>
      <c r="V2" s="11">
        <f>0.5*((S2+S10)/2 + T11)</f>
        <v>69.5</v>
      </c>
      <c r="X2" s="22"/>
      <c r="Y2" s="21">
        <v>0</v>
      </c>
      <c r="Z2" s="6">
        <v>1</v>
      </c>
      <c r="AA2" s="15">
        <f>Z2^2 + 2*Z2 +1</f>
        <v>4</v>
      </c>
      <c r="AB2" s="17"/>
      <c r="AD2" s="11">
        <f>AD10</f>
        <v>69.333333333333329</v>
      </c>
      <c r="AG2" s="22"/>
      <c r="AH2" s="21">
        <v>0</v>
      </c>
      <c r="AI2" s="6">
        <v>0</v>
      </c>
      <c r="AJ2" s="15">
        <f>EXP(AI2) +EXP(1)</f>
        <v>3.7182818284590451</v>
      </c>
      <c r="AK2" s="17"/>
      <c r="AM2" s="11">
        <v>4.4365659830000004</v>
      </c>
    </row>
    <row r="3" spans="1:40" x14ac:dyDescent="0.3">
      <c r="A3" s="6">
        <v>1</v>
      </c>
      <c r="B3" s="6">
        <f>B2+0.5</f>
        <v>1.5</v>
      </c>
      <c r="C3" s="6">
        <f t="shared" ref="C3:C9" si="0">$B$2+(A3+0.5)*0.5</f>
        <v>1.75</v>
      </c>
      <c r="D3" s="6">
        <f t="shared" ref="D3:D9" si="1">C3^2 + 2*C3 +1</f>
        <v>7.5625</v>
      </c>
      <c r="F3" s="10"/>
      <c r="G3" s="10"/>
      <c r="I3" s="6">
        <v>1</v>
      </c>
      <c r="J3" s="6">
        <f>J2+0.4</f>
        <v>1.4</v>
      </c>
      <c r="K3" s="6">
        <f t="shared" ref="K3:K11" si="2">$B$2+(I3+0.5)*0.4</f>
        <v>1.6</v>
      </c>
      <c r="L3" s="6">
        <f t="shared" ref="L3:L11" si="3">K3^2 + 2*K3 +1</f>
        <v>6.7600000000000007</v>
      </c>
      <c r="N3" s="10"/>
      <c r="O3" s="10"/>
      <c r="Q3" s="6">
        <v>1</v>
      </c>
      <c r="R3" s="6">
        <f>R2+0.5</f>
        <v>1.5</v>
      </c>
      <c r="S3" s="15">
        <f t="shared" ref="S3:S9" si="4">R3^2 + 2*R3 +1</f>
        <v>6.25</v>
      </c>
      <c r="T3" s="17"/>
      <c r="V3" s="10"/>
      <c r="W3" s="10"/>
      <c r="Y3" s="6">
        <v>1</v>
      </c>
      <c r="Z3" s="6">
        <f>Z2+$Y$14</f>
        <v>1.5</v>
      </c>
      <c r="AA3" s="15">
        <f t="shared" ref="AA3:AA10" si="5">Z3^2 + 2*Z3 +1</f>
        <v>6.25</v>
      </c>
      <c r="AB3" s="17"/>
      <c r="AD3" s="10"/>
      <c r="AE3" s="10"/>
      <c r="AH3" s="6">
        <v>1</v>
      </c>
      <c r="AI3" s="6">
        <f>AI2+$AH$14</f>
        <v>0.125</v>
      </c>
      <c r="AJ3" s="15">
        <f t="shared" ref="AJ3:AJ10" si="6">EXP(AI3) +EXP(1)</f>
        <v>3.8514302815258716</v>
      </c>
      <c r="AK3" s="17"/>
      <c r="AM3" s="10"/>
      <c r="AN3" s="10"/>
    </row>
    <row r="4" spans="1:40" x14ac:dyDescent="0.3">
      <c r="A4" s="6">
        <v>2</v>
      </c>
      <c r="B4" s="6">
        <f t="shared" ref="B4:B10" si="7">B3+0.5</f>
        <v>2</v>
      </c>
      <c r="C4" s="6">
        <f t="shared" si="0"/>
        <v>2.25</v>
      </c>
      <c r="D4" s="6">
        <f t="shared" si="1"/>
        <v>10.5625</v>
      </c>
      <c r="F4" s="25" t="s">
        <v>4</v>
      </c>
      <c r="G4" s="25" t="s">
        <v>5</v>
      </c>
      <c r="I4" s="6">
        <v>2</v>
      </c>
      <c r="J4" s="6">
        <f t="shared" ref="J4:J12" si="8">J3+0.4</f>
        <v>1.7999999999999998</v>
      </c>
      <c r="K4" s="6">
        <f t="shared" si="2"/>
        <v>2</v>
      </c>
      <c r="L4" s="6">
        <f t="shared" si="3"/>
        <v>9</v>
      </c>
      <c r="N4" s="25" t="s">
        <v>4</v>
      </c>
      <c r="O4" s="25" t="s">
        <v>5</v>
      </c>
      <c r="Q4" s="6">
        <v>2</v>
      </c>
      <c r="R4" s="6">
        <f t="shared" ref="R4:R10" si="9">R3+0.5</f>
        <v>2</v>
      </c>
      <c r="S4" s="15">
        <f t="shared" si="4"/>
        <v>9</v>
      </c>
      <c r="T4" s="17"/>
      <c r="V4" s="25" t="s">
        <v>4</v>
      </c>
      <c r="W4" s="25" t="s">
        <v>5</v>
      </c>
      <c r="Y4" s="6">
        <v>2</v>
      </c>
      <c r="Z4" s="6">
        <f t="shared" ref="Z4:Z10" si="10">Z3+$Y$14</f>
        <v>2</v>
      </c>
      <c r="AA4" s="15">
        <f t="shared" si="5"/>
        <v>9</v>
      </c>
      <c r="AB4" s="17"/>
      <c r="AD4" s="25" t="s">
        <v>4</v>
      </c>
      <c r="AE4" s="25" t="s">
        <v>5</v>
      </c>
      <c r="AH4" s="6">
        <v>2</v>
      </c>
      <c r="AI4" s="6">
        <f t="shared" ref="AI4:AI10" si="11">AI3+$AH$14</f>
        <v>0.25</v>
      </c>
      <c r="AJ4" s="15">
        <f t="shared" si="6"/>
        <v>4.0023072451467865</v>
      </c>
      <c r="AK4" s="17"/>
      <c r="AM4" s="25" t="s">
        <v>4</v>
      </c>
      <c r="AN4" s="25" t="s">
        <v>5</v>
      </c>
    </row>
    <row r="5" spans="1:40" x14ac:dyDescent="0.3">
      <c r="A5" s="6">
        <v>3</v>
      </c>
      <c r="B5" s="6">
        <f t="shared" si="7"/>
        <v>2.5</v>
      </c>
      <c r="C5" s="6">
        <f t="shared" si="0"/>
        <v>2.75</v>
      </c>
      <c r="D5" s="6">
        <f t="shared" si="1"/>
        <v>14.0625</v>
      </c>
      <c r="F5" s="9">
        <f>(208/3)-F2</f>
        <v>8.3333333333328596E-2</v>
      </c>
      <c r="G5" s="24">
        <f>(F5/(208/3))</f>
        <v>1.2019230769230087E-3</v>
      </c>
      <c r="I5" s="6">
        <v>3</v>
      </c>
      <c r="J5" s="6">
        <f t="shared" si="8"/>
        <v>2.1999999999999997</v>
      </c>
      <c r="K5" s="6">
        <f t="shared" si="2"/>
        <v>2.4000000000000004</v>
      </c>
      <c r="L5" s="6">
        <f t="shared" si="3"/>
        <v>11.560000000000002</v>
      </c>
      <c r="N5" s="8">
        <f>(208/3)-N2</f>
        <v>5.3333333333313249E-2</v>
      </c>
      <c r="O5" s="24">
        <f>(N5/(208/3))</f>
        <v>7.6923076923047964E-4</v>
      </c>
      <c r="Q5" s="6">
        <v>3</v>
      </c>
      <c r="R5" s="6">
        <f t="shared" si="9"/>
        <v>2.5</v>
      </c>
      <c r="S5" s="15">
        <f t="shared" si="4"/>
        <v>12.25</v>
      </c>
      <c r="T5" s="17"/>
      <c r="V5" s="8">
        <f>((208/3)-V2)*-1</f>
        <v>0.1666666666666714</v>
      </c>
      <c r="W5" s="24">
        <f>(V5/(208/3))</f>
        <v>2.4038461538462225E-3</v>
      </c>
      <c r="Y5" s="6">
        <v>3</v>
      </c>
      <c r="Z5" s="6">
        <f t="shared" si="10"/>
        <v>2.5</v>
      </c>
      <c r="AA5" s="15">
        <f t="shared" si="5"/>
        <v>12.25</v>
      </c>
      <c r="AB5" s="17"/>
      <c r="AD5" s="28">
        <f>2.32*10^(-6)</f>
        <v>2.3199999999999998E-6</v>
      </c>
      <c r="AE5" s="24">
        <f>(AD5/(208/3))</f>
        <v>3.3461538461538463E-8</v>
      </c>
      <c r="AH5" s="6">
        <v>3</v>
      </c>
      <c r="AI5" s="6">
        <f t="shared" si="11"/>
        <v>0.375</v>
      </c>
      <c r="AJ5" s="15">
        <f t="shared" si="6"/>
        <v>4.1732732430772463</v>
      </c>
      <c r="AK5" s="17"/>
      <c r="AM5" s="9">
        <f>(AM10-AM2)*(-1)</f>
        <v>2.3260819101977859E-6</v>
      </c>
      <c r="AN5" s="24">
        <f>(AM5/(208/3))</f>
        <v>3.3549258320160376E-8</v>
      </c>
    </row>
    <row r="6" spans="1:40" x14ac:dyDescent="0.3">
      <c r="A6" s="6">
        <v>4</v>
      </c>
      <c r="B6" s="6">
        <f t="shared" si="7"/>
        <v>3</v>
      </c>
      <c r="C6" s="6">
        <f t="shared" si="0"/>
        <v>3.25</v>
      </c>
      <c r="D6" s="6">
        <f t="shared" si="1"/>
        <v>18.0625</v>
      </c>
      <c r="I6" s="6">
        <v>4</v>
      </c>
      <c r="J6" s="6">
        <f t="shared" si="8"/>
        <v>2.5999999999999996</v>
      </c>
      <c r="K6" s="6">
        <f t="shared" si="2"/>
        <v>2.8</v>
      </c>
      <c r="L6" s="6">
        <f t="shared" si="3"/>
        <v>14.439999999999998</v>
      </c>
      <c r="Q6" s="6">
        <v>4</v>
      </c>
      <c r="R6" s="6">
        <f t="shared" si="9"/>
        <v>3</v>
      </c>
      <c r="S6" s="15">
        <f t="shared" si="4"/>
        <v>16</v>
      </c>
      <c r="T6" s="17"/>
      <c r="Y6" s="6">
        <v>4</v>
      </c>
      <c r="Z6" s="6">
        <f t="shared" si="10"/>
        <v>3</v>
      </c>
      <c r="AA6" s="15">
        <f t="shared" si="5"/>
        <v>16</v>
      </c>
      <c r="AB6" s="17"/>
      <c r="AH6" s="6">
        <v>4</v>
      </c>
      <c r="AI6" s="6">
        <f t="shared" si="11"/>
        <v>0.5</v>
      </c>
      <c r="AJ6" s="15">
        <f t="shared" si="6"/>
        <v>4.3670030991591737</v>
      </c>
      <c r="AK6" s="17"/>
    </row>
    <row r="7" spans="1:40" x14ac:dyDescent="0.3">
      <c r="A7" s="6">
        <v>5</v>
      </c>
      <c r="B7" s="6">
        <f t="shared" si="7"/>
        <v>3.5</v>
      </c>
      <c r="C7" s="6">
        <f t="shared" si="0"/>
        <v>3.75</v>
      </c>
      <c r="D7" s="6">
        <f t="shared" si="1"/>
        <v>22.5625</v>
      </c>
      <c r="I7" s="6">
        <v>5</v>
      </c>
      <c r="J7" s="6">
        <f t="shared" si="8"/>
        <v>2.9999999999999996</v>
      </c>
      <c r="K7" s="6">
        <f t="shared" si="2"/>
        <v>3.2</v>
      </c>
      <c r="L7" s="6">
        <f t="shared" si="3"/>
        <v>17.64</v>
      </c>
      <c r="Q7" s="6">
        <v>5</v>
      </c>
      <c r="R7" s="6">
        <f t="shared" si="9"/>
        <v>3.5</v>
      </c>
      <c r="S7" s="15">
        <f t="shared" si="4"/>
        <v>20.25</v>
      </c>
      <c r="T7" s="17"/>
      <c r="U7" s="16"/>
      <c r="Y7" s="6">
        <v>5</v>
      </c>
      <c r="Z7" s="6">
        <f t="shared" si="10"/>
        <v>3.5</v>
      </c>
      <c r="AA7" s="15">
        <f t="shared" si="5"/>
        <v>20.25</v>
      </c>
      <c r="AB7" s="17"/>
      <c r="AC7" s="16"/>
      <c r="AH7" s="6">
        <v>5</v>
      </c>
      <c r="AI7" s="6">
        <f t="shared" si="11"/>
        <v>0.625</v>
      </c>
      <c r="AJ7" s="15">
        <f t="shared" si="6"/>
        <v>4.586527785891267</v>
      </c>
      <c r="AK7" s="17"/>
      <c r="AL7" s="16"/>
    </row>
    <row r="8" spans="1:40" x14ac:dyDescent="0.3">
      <c r="A8" s="6">
        <v>6</v>
      </c>
      <c r="B8" s="6">
        <f t="shared" si="7"/>
        <v>4</v>
      </c>
      <c r="C8" s="6">
        <f t="shared" si="0"/>
        <v>4.25</v>
      </c>
      <c r="D8" s="6">
        <f t="shared" si="1"/>
        <v>27.5625</v>
      </c>
      <c r="I8" s="6">
        <v>6</v>
      </c>
      <c r="J8" s="6">
        <f t="shared" si="8"/>
        <v>3.3999999999999995</v>
      </c>
      <c r="K8" s="6">
        <f t="shared" si="2"/>
        <v>3.6</v>
      </c>
      <c r="L8" s="6">
        <f t="shared" si="3"/>
        <v>21.16</v>
      </c>
      <c r="Q8" s="6">
        <v>6</v>
      </c>
      <c r="R8" s="6">
        <f t="shared" si="9"/>
        <v>4</v>
      </c>
      <c r="S8" s="15">
        <f t="shared" si="4"/>
        <v>25</v>
      </c>
      <c r="T8" s="17"/>
      <c r="Y8" s="6">
        <v>6</v>
      </c>
      <c r="Z8" s="6">
        <f t="shared" si="10"/>
        <v>4</v>
      </c>
      <c r="AA8" s="15">
        <f t="shared" si="5"/>
        <v>25</v>
      </c>
      <c r="AB8" s="17"/>
      <c r="AH8" s="6">
        <v>6</v>
      </c>
      <c r="AI8" s="6">
        <f t="shared" si="11"/>
        <v>0.75</v>
      </c>
      <c r="AJ8" s="15">
        <f t="shared" si="6"/>
        <v>4.8352818450717194</v>
      </c>
      <c r="AK8" s="17"/>
    </row>
    <row r="9" spans="1:40" x14ac:dyDescent="0.3">
      <c r="A9" s="6">
        <v>7</v>
      </c>
      <c r="B9" s="6">
        <f t="shared" si="7"/>
        <v>4.5</v>
      </c>
      <c r="C9" s="6">
        <f t="shared" si="0"/>
        <v>4.75</v>
      </c>
      <c r="D9" s="6">
        <f t="shared" si="1"/>
        <v>33.0625</v>
      </c>
      <c r="I9" s="6">
        <v>7</v>
      </c>
      <c r="J9" s="6">
        <f t="shared" si="8"/>
        <v>3.7999999999999994</v>
      </c>
      <c r="K9" s="6">
        <f t="shared" si="2"/>
        <v>4</v>
      </c>
      <c r="L9" s="6">
        <f t="shared" si="3"/>
        <v>25</v>
      </c>
      <c r="Q9" s="6">
        <v>7</v>
      </c>
      <c r="R9" s="6">
        <f t="shared" si="9"/>
        <v>4.5</v>
      </c>
      <c r="S9" s="15">
        <f t="shared" si="4"/>
        <v>30.25</v>
      </c>
      <c r="T9" s="17"/>
      <c r="Y9" s="6">
        <v>7</v>
      </c>
      <c r="Z9" s="6">
        <f t="shared" si="10"/>
        <v>4.5</v>
      </c>
      <c r="AA9" s="15">
        <f t="shared" si="5"/>
        <v>30.25</v>
      </c>
      <c r="AB9" s="17"/>
      <c r="AH9" s="6">
        <v>7</v>
      </c>
      <c r="AI9" s="6">
        <f t="shared" si="11"/>
        <v>0.875</v>
      </c>
      <c r="AJ9" s="15">
        <f t="shared" si="6"/>
        <v>5.1171571224261427</v>
      </c>
      <c r="AK9" s="17"/>
    </row>
    <row r="10" spans="1:40" ht="15" thickBot="1" x14ac:dyDescent="0.35">
      <c r="A10" s="6">
        <v>8</v>
      </c>
      <c r="B10" s="6">
        <f t="shared" si="7"/>
        <v>5</v>
      </c>
      <c r="C10" s="2"/>
      <c r="D10" s="2"/>
      <c r="I10" s="6">
        <v>8</v>
      </c>
      <c r="J10" s="6">
        <f t="shared" si="8"/>
        <v>4.1999999999999993</v>
      </c>
      <c r="K10" s="6">
        <f t="shared" si="2"/>
        <v>4.4000000000000004</v>
      </c>
      <c r="L10" s="6">
        <f t="shared" si="3"/>
        <v>29.160000000000004</v>
      </c>
      <c r="Q10" s="6">
        <v>8</v>
      </c>
      <c r="R10" s="6">
        <f t="shared" si="9"/>
        <v>5</v>
      </c>
      <c r="S10" s="19">
        <f>R10^2 + 2*R10 +1</f>
        <v>36</v>
      </c>
      <c r="T10" s="17"/>
      <c r="Y10" s="6">
        <v>8</v>
      </c>
      <c r="Z10" s="6">
        <f t="shared" si="10"/>
        <v>5</v>
      </c>
      <c r="AA10" s="15">
        <f t="shared" si="5"/>
        <v>36</v>
      </c>
      <c r="AB10" s="17"/>
      <c r="AD10">
        <f>( 208/3)</f>
        <v>69.333333333333329</v>
      </c>
      <c r="AH10" s="6">
        <v>8</v>
      </c>
      <c r="AI10" s="6">
        <f t="shared" si="11"/>
        <v>1</v>
      </c>
      <c r="AJ10" s="15">
        <f t="shared" si="6"/>
        <v>5.4365636569180902</v>
      </c>
      <c r="AK10" s="17"/>
      <c r="AM10">
        <f>2 * EXP(1) -1</f>
        <v>4.4365636569180902</v>
      </c>
    </row>
    <row r="11" spans="1:40" ht="16.2" thickBot="1" x14ac:dyDescent="0.35">
      <c r="C11" s="12" t="s">
        <v>3</v>
      </c>
      <c r="D11" s="13">
        <f>SUM(D2:D9)</f>
        <v>138.5</v>
      </c>
      <c r="I11" s="6">
        <v>9</v>
      </c>
      <c r="J11" s="6">
        <f t="shared" si="8"/>
        <v>4.5999999999999996</v>
      </c>
      <c r="K11" s="6">
        <f t="shared" si="2"/>
        <v>4.8000000000000007</v>
      </c>
      <c r="L11" s="6">
        <f t="shared" si="3"/>
        <v>33.640000000000008</v>
      </c>
      <c r="S11" s="20" t="s">
        <v>3</v>
      </c>
      <c r="T11" s="18">
        <f>SUM(S3:S9)</f>
        <v>119</v>
      </c>
      <c r="AA11" s="20" t="s">
        <v>3</v>
      </c>
      <c r="AB11" s="18">
        <f>SUM(AA2:AA9)</f>
        <v>123</v>
      </c>
      <c r="AJ11" s="20" t="s">
        <v>3</v>
      </c>
      <c r="AK11" s="18">
        <f>SUM(AJ2:AJ9)</f>
        <v>34.651262450757251</v>
      </c>
    </row>
    <row r="12" spans="1:40" x14ac:dyDescent="0.3">
      <c r="I12" s="6">
        <v>10</v>
      </c>
      <c r="J12" s="6">
        <f t="shared" si="8"/>
        <v>5</v>
      </c>
    </row>
    <row r="13" spans="1:40" x14ac:dyDescent="0.3">
      <c r="K13" t="s">
        <v>3</v>
      </c>
      <c r="L13" s="14">
        <f>SUM(L2:L11)</f>
        <v>173.20000000000002</v>
      </c>
    </row>
    <row r="14" spans="1:40" ht="16.2" thickBot="1" x14ac:dyDescent="0.35">
      <c r="Q14" s="5" t="s">
        <v>0</v>
      </c>
      <c r="R14" s="5" t="s">
        <v>1</v>
      </c>
      <c r="S14" s="7" t="s">
        <v>2</v>
      </c>
      <c r="T14" s="2"/>
      <c r="X14" s="23" t="s">
        <v>6</v>
      </c>
      <c r="Y14" s="4">
        <f>4/8</f>
        <v>0.5</v>
      </c>
      <c r="AG14" s="23" t="s">
        <v>6</v>
      </c>
      <c r="AH14" s="4">
        <f>1/8</f>
        <v>0.125</v>
      </c>
    </row>
    <row r="15" spans="1:40" ht="16.2" thickBot="1" x14ac:dyDescent="0.35">
      <c r="Q15" s="6">
        <v>0</v>
      </c>
      <c r="R15" s="6">
        <v>0</v>
      </c>
      <c r="S15" s="15">
        <f t="shared" ref="S15:S16" si="12">SIN(R15) * COS(R15)</f>
        <v>0</v>
      </c>
      <c r="T15" s="17"/>
      <c r="V15" s="11">
        <f>Q27*((S15+S23)/2 + T24)</f>
        <v>5.6871799974713694E-14</v>
      </c>
      <c r="X15" s="23" t="s">
        <v>7</v>
      </c>
      <c r="Y15" s="3">
        <v>4</v>
      </c>
      <c r="AG15" s="23" t="s">
        <v>7</v>
      </c>
      <c r="AH15" s="3">
        <v>4</v>
      </c>
      <c r="AI15" s="1"/>
    </row>
    <row r="16" spans="1:40" x14ac:dyDescent="0.3">
      <c r="Q16" s="6">
        <v>1</v>
      </c>
      <c r="R16" s="6">
        <f>R15+$Q$27</f>
        <v>0.39269912499999998</v>
      </c>
      <c r="S16" s="15">
        <f t="shared" si="12"/>
        <v>0.35355342121189826</v>
      </c>
      <c r="T16" s="17"/>
      <c r="V16" s="10"/>
      <c r="W16" s="10"/>
    </row>
    <row r="17" spans="1:23" x14ac:dyDescent="0.3">
      <c r="Q17" s="6">
        <v>2</v>
      </c>
      <c r="R17" s="6">
        <f t="shared" ref="R17:R23" si="13">R16+$Q$27</f>
        <v>0.78539824999999996</v>
      </c>
      <c r="S17" s="15">
        <f>SIN(R17) * COS(R17)</f>
        <v>0.49999999999999245</v>
      </c>
      <c r="T17" s="17"/>
      <c r="V17" s="25" t="s">
        <v>4</v>
      </c>
      <c r="W17" s="25" t="s">
        <v>5</v>
      </c>
    </row>
    <row r="18" spans="1:23" x14ac:dyDescent="0.3">
      <c r="Q18" s="6">
        <v>3</v>
      </c>
      <c r="R18" s="6">
        <f t="shared" si="13"/>
        <v>1.1780973749999999</v>
      </c>
      <c r="S18" s="15">
        <f t="shared" ref="S18:S22" si="14">SIN(R18) * COS(R18)</f>
        <v>0.35355329873738456</v>
      </c>
      <c r="T18" s="17"/>
      <c r="V18" s="8">
        <f>((((SIN(0))^2)/2)-V15)</f>
        <v>-5.6871799974713694E-14</v>
      </c>
      <c r="W18" s="24">
        <f>(V18/(208/3))</f>
        <v>-8.2026634578913985E-16</v>
      </c>
    </row>
    <row r="19" spans="1:23" x14ac:dyDescent="0.3">
      <c r="Q19" s="6">
        <v>4</v>
      </c>
      <c r="R19" s="6">
        <f t="shared" si="13"/>
        <v>1.5707964999999999</v>
      </c>
      <c r="S19" s="15">
        <f t="shared" si="14"/>
        <v>-1.7320510330967164E-7</v>
      </c>
      <c r="T19" s="17"/>
    </row>
    <row r="20" spans="1:23" ht="15.6" x14ac:dyDescent="0.3">
      <c r="A20" s="5" t="s">
        <v>0</v>
      </c>
      <c r="B20" s="5" t="s">
        <v>8</v>
      </c>
      <c r="C20" s="5" t="s">
        <v>9</v>
      </c>
      <c r="Q20" s="6">
        <v>5</v>
      </c>
      <c r="R20" s="6">
        <f t="shared" si="13"/>
        <v>1.963495625</v>
      </c>
      <c r="S20" s="15">
        <f t="shared" si="14"/>
        <v>-0.35355354368636949</v>
      </c>
      <c r="T20" s="17"/>
      <c r="U20" s="16"/>
    </row>
    <row r="21" spans="1:23" x14ac:dyDescent="0.3">
      <c r="A21" s="6">
        <v>0</v>
      </c>
      <c r="B21" s="6">
        <v>0.55555555560000003</v>
      </c>
      <c r="C21" s="27">
        <v>-0.77459666920000003</v>
      </c>
      <c r="D21">
        <f>(3 + 2*C21)</f>
        <v>1.4508066615999999</v>
      </c>
      <c r="E21">
        <f>(D21^2 + 2*D21 +1)*B21</f>
        <v>3.3369184961241403</v>
      </c>
      <c r="Q21" s="6">
        <v>6</v>
      </c>
      <c r="R21" s="6">
        <f t="shared" si="13"/>
        <v>2.3561947499999998</v>
      </c>
      <c r="S21" s="15">
        <f t="shared" si="14"/>
        <v>-0.4999999999999325</v>
      </c>
      <c r="T21" s="17"/>
    </row>
    <row r="22" spans="1:23" x14ac:dyDescent="0.3">
      <c r="A22" s="6">
        <v>1</v>
      </c>
      <c r="B22" s="6">
        <v>0.88888888880000005</v>
      </c>
      <c r="C22" s="27">
        <v>0</v>
      </c>
      <c r="D22">
        <f t="shared" ref="D22:D23" si="15">(3 + 2*C22)</f>
        <v>3</v>
      </c>
      <c r="E22">
        <f t="shared" ref="E22:E23" si="16">(D22^2 + 2*D22 +1)*B22</f>
        <v>14.222222220800001</v>
      </c>
      <c r="F22">
        <f>2*SUM(E21:E23)</f>
        <v>69.333333333188762</v>
      </c>
      <c r="Q22" s="6">
        <v>7</v>
      </c>
      <c r="R22" s="6">
        <f t="shared" si="13"/>
        <v>2.7488938749999998</v>
      </c>
      <c r="S22" s="15">
        <f t="shared" si="14"/>
        <v>-0.35355317626282845</v>
      </c>
      <c r="T22" s="17"/>
    </row>
    <row r="23" spans="1:23" ht="15" thickBot="1" x14ac:dyDescent="0.35">
      <c r="A23" s="6">
        <v>2</v>
      </c>
      <c r="B23" s="6">
        <v>0.55555555560000003</v>
      </c>
      <c r="C23" s="6">
        <v>0.77459666920000003</v>
      </c>
      <c r="D23">
        <f t="shared" si="15"/>
        <v>4.5491933384000003</v>
      </c>
      <c r="E23">
        <f t="shared" si="16"/>
        <v>17.107525949670237</v>
      </c>
      <c r="Q23" s="6">
        <v>8</v>
      </c>
      <c r="R23" s="6">
        <f t="shared" si="13"/>
        <v>3.1415929999999999</v>
      </c>
      <c r="S23" s="15">
        <f>SIN(R23) * COS(R23)</f>
        <v>3.4641020661932253E-7</v>
      </c>
      <c r="T23" s="17"/>
    </row>
    <row r="24" spans="1:23" ht="16.2" thickBot="1" x14ac:dyDescent="0.35">
      <c r="S24" s="20" t="s">
        <v>3</v>
      </c>
      <c r="T24" s="18">
        <f>SUM(S16:S22)</f>
        <v>-1.7320495848682782E-7</v>
      </c>
    </row>
    <row r="27" spans="1:23" x14ac:dyDescent="0.3">
      <c r="Q27">
        <f>3.141593/8</f>
        <v>0.39269912499999998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workbookViewId="0">
      <selection activeCell="E20" sqref="E20"/>
    </sheetView>
  </sheetViews>
  <sheetFormatPr defaultRowHeight="14.4" x14ac:dyDescent="0.3"/>
  <cols>
    <col min="1" max="1" width="21.77734375" customWidth="1"/>
    <col min="2" max="2" width="15.88671875" customWidth="1"/>
    <col min="3" max="3" width="15.77734375" customWidth="1"/>
    <col min="4" max="4" width="16.33203125" customWidth="1"/>
    <col min="5" max="5" width="16.6640625" customWidth="1"/>
    <col min="6" max="6" width="15.88671875" customWidth="1"/>
    <col min="7" max="7" width="16" customWidth="1"/>
    <col min="8" max="8" width="16.109375" customWidth="1"/>
    <col min="9" max="9" width="17.44140625" customWidth="1"/>
    <col min="10" max="10" width="14.88671875" customWidth="1"/>
    <col min="11" max="11" width="14.33203125" customWidth="1"/>
  </cols>
  <sheetData>
    <row r="1" spans="1:11" ht="28.2" customHeight="1" x14ac:dyDescent="0.3">
      <c r="A1" s="60" t="s">
        <v>10</v>
      </c>
      <c r="B1" s="59">
        <v>1</v>
      </c>
      <c r="C1" s="59"/>
      <c r="D1" s="59" t="s">
        <v>15</v>
      </c>
      <c r="E1" s="59"/>
      <c r="F1" s="59" t="s">
        <v>16</v>
      </c>
      <c r="G1" s="59"/>
      <c r="H1" s="59" t="s">
        <v>18</v>
      </c>
      <c r="I1" s="59"/>
      <c r="J1" s="59" t="s">
        <v>17</v>
      </c>
      <c r="K1" s="59"/>
    </row>
    <row r="2" spans="1:11" x14ac:dyDescent="0.3">
      <c r="A2" s="60"/>
      <c r="B2" s="26" t="s">
        <v>13</v>
      </c>
      <c r="C2" s="26" t="s">
        <v>14</v>
      </c>
      <c r="D2" s="26" t="s">
        <v>13</v>
      </c>
      <c r="E2" s="26" t="s">
        <v>14</v>
      </c>
      <c r="F2" s="26" t="s">
        <v>13</v>
      </c>
      <c r="G2" s="26" t="s">
        <v>14</v>
      </c>
      <c r="H2" s="26" t="s">
        <v>13</v>
      </c>
      <c r="I2" s="26" t="s">
        <v>14</v>
      </c>
      <c r="J2" s="26" t="s">
        <v>13</v>
      </c>
      <c r="K2" s="26" t="s">
        <v>14</v>
      </c>
    </row>
    <row r="3" spans="1:11" ht="27" customHeight="1" x14ac:dyDescent="0.3">
      <c r="A3" s="29" t="s">
        <v>11</v>
      </c>
      <c r="B3" s="33">
        <v>1E-3</v>
      </c>
      <c r="C3" s="33">
        <v>5.0000000000000001E-3</v>
      </c>
      <c r="D3" s="33">
        <v>0.01</v>
      </c>
      <c r="E3" s="33">
        <v>2.1000000000000001E-2</v>
      </c>
      <c r="F3" s="33">
        <v>1.2E-2</v>
      </c>
      <c r="G3" s="33">
        <v>4.1000000000000002E-2</v>
      </c>
      <c r="H3" s="33">
        <v>1.2999999999999999E-2</v>
      </c>
      <c r="I3" s="33">
        <v>5.1999999999999998E-2</v>
      </c>
      <c r="J3" s="33">
        <v>1.4999999999999999E-2</v>
      </c>
      <c r="K3" s="33">
        <v>6.7000000000000004E-2</v>
      </c>
    </row>
    <row r="4" spans="1:11" ht="29.4" customHeight="1" thickBot="1" x14ac:dyDescent="0.35">
      <c r="A4" s="31" t="s">
        <v>12</v>
      </c>
      <c r="B4" s="34">
        <v>0</v>
      </c>
      <c r="C4" s="34">
        <v>1</v>
      </c>
      <c r="D4" s="34">
        <v>0</v>
      </c>
      <c r="E4" s="34">
        <v>2</v>
      </c>
      <c r="F4" s="34">
        <v>0</v>
      </c>
      <c r="G4" s="34">
        <v>3</v>
      </c>
      <c r="H4" s="34">
        <v>1</v>
      </c>
      <c r="I4" s="34">
        <v>3</v>
      </c>
      <c r="J4" s="34">
        <v>1</v>
      </c>
      <c r="K4" s="34">
        <v>4</v>
      </c>
    </row>
    <row r="5" spans="1:11" ht="18.600000000000001" thickBot="1" x14ac:dyDescent="0.35">
      <c r="A5" s="32" t="s">
        <v>19</v>
      </c>
    </row>
    <row r="7" spans="1:11" ht="18" x14ac:dyDescent="0.3">
      <c r="A7" s="60" t="s">
        <v>10</v>
      </c>
      <c r="B7" s="59">
        <v>1</v>
      </c>
      <c r="C7" s="59"/>
      <c r="D7" s="59" t="s">
        <v>15</v>
      </c>
      <c r="E7" s="59"/>
      <c r="F7" s="59" t="s">
        <v>16</v>
      </c>
      <c r="G7" s="59"/>
      <c r="H7" s="59" t="s">
        <v>18</v>
      </c>
      <c r="I7" s="59"/>
      <c r="J7" s="59" t="s">
        <v>17</v>
      </c>
      <c r="K7" s="59"/>
    </row>
    <row r="8" spans="1:11" x14ac:dyDescent="0.3">
      <c r="A8" s="60"/>
      <c r="B8" s="26" t="s">
        <v>13</v>
      </c>
      <c r="C8" s="26" t="s">
        <v>14</v>
      </c>
      <c r="D8" s="26" t="s">
        <v>13</v>
      </c>
      <c r="E8" s="26" t="s">
        <v>14</v>
      </c>
      <c r="F8" s="26" t="s">
        <v>13</v>
      </c>
      <c r="G8" s="26" t="s">
        <v>14</v>
      </c>
      <c r="H8" s="26" t="s">
        <v>13</v>
      </c>
      <c r="I8" s="26" t="s">
        <v>14</v>
      </c>
      <c r="J8" s="26" t="s">
        <v>13</v>
      </c>
      <c r="K8" s="26" t="s">
        <v>14</v>
      </c>
    </row>
    <row r="9" spans="1:11" ht="28.8" x14ac:dyDescent="0.3">
      <c r="A9" s="29" t="s">
        <v>11</v>
      </c>
      <c r="B9" s="6">
        <v>8.0000000000000002E-3</v>
      </c>
      <c r="C9" s="6">
        <v>0.183</v>
      </c>
      <c r="D9" s="6">
        <v>0.20399999999999999</v>
      </c>
      <c r="E9" s="6">
        <v>0.32600000000000001</v>
      </c>
      <c r="F9" s="6">
        <v>0.26100000000000001</v>
      </c>
      <c r="G9" s="6">
        <v>0.35599999999999998</v>
      </c>
      <c r="H9" s="6">
        <v>0.27400000000000002</v>
      </c>
      <c r="I9" s="6">
        <v>0.371</v>
      </c>
      <c r="J9" s="6">
        <v>0.28199999999999997</v>
      </c>
      <c r="K9" s="6">
        <v>0.40200000000000002</v>
      </c>
    </row>
    <row r="10" spans="1:11" ht="32.4" customHeight="1" thickBot="1" x14ac:dyDescent="0.35">
      <c r="A10" s="31" t="s">
        <v>12</v>
      </c>
      <c r="B10" s="6">
        <v>1E-3</v>
      </c>
      <c r="C10" s="6">
        <v>4.0000000000000001E-3</v>
      </c>
      <c r="D10" s="6">
        <v>2E-3</v>
      </c>
      <c r="E10" s="6">
        <v>5.0000000000000001E-3</v>
      </c>
      <c r="F10" s="6">
        <v>2E-3</v>
      </c>
      <c r="G10" s="6">
        <v>7.0000000000000001E-3</v>
      </c>
      <c r="H10" s="6">
        <v>3.0000000000000001E-3</v>
      </c>
      <c r="I10" s="6">
        <v>8.9999999999999993E-3</v>
      </c>
      <c r="J10" s="6">
        <v>5.0000000000000001E-3</v>
      </c>
      <c r="K10" s="6">
        <v>1.0999999999999999E-2</v>
      </c>
    </row>
    <row r="11" spans="1:11" ht="18.600000000000001" thickBot="1" x14ac:dyDescent="0.35">
      <c r="A11" s="32" t="s">
        <v>20</v>
      </c>
    </row>
    <row r="13" spans="1:11" ht="18" x14ac:dyDescent="0.3">
      <c r="A13" s="60" t="s">
        <v>10</v>
      </c>
      <c r="B13" s="59">
        <v>1</v>
      </c>
      <c r="C13" s="59"/>
      <c r="D13" s="59" t="s">
        <v>15</v>
      </c>
      <c r="E13" s="59"/>
      <c r="F13" s="59" t="s">
        <v>16</v>
      </c>
      <c r="G13" s="59"/>
      <c r="H13" s="59" t="s">
        <v>18</v>
      </c>
      <c r="I13" s="59"/>
      <c r="J13" s="59" t="s">
        <v>17</v>
      </c>
      <c r="K13" s="59"/>
    </row>
    <row r="14" spans="1:11" x14ac:dyDescent="0.3">
      <c r="A14" s="60"/>
      <c r="B14" s="26" t="s">
        <v>13</v>
      </c>
      <c r="C14" s="26" t="s">
        <v>14</v>
      </c>
      <c r="D14" s="26" t="s">
        <v>13</v>
      </c>
      <c r="E14" s="26" t="s">
        <v>14</v>
      </c>
      <c r="F14" s="26" t="s">
        <v>13</v>
      </c>
      <c r="G14" s="26" t="s">
        <v>14</v>
      </c>
      <c r="H14" s="26" t="s">
        <v>13</v>
      </c>
      <c r="I14" s="26" t="s">
        <v>14</v>
      </c>
      <c r="J14" s="26" t="s">
        <v>13</v>
      </c>
      <c r="K14" s="26" t="s">
        <v>14</v>
      </c>
    </row>
    <row r="15" spans="1:11" ht="29.4" customHeight="1" x14ac:dyDescent="0.3">
      <c r="A15" s="29" t="s">
        <v>11</v>
      </c>
      <c r="B15" s="6">
        <v>2.7E-2</v>
      </c>
      <c r="C15" s="6">
        <v>0.41699999999999998</v>
      </c>
      <c r="D15" s="6">
        <v>1.639</v>
      </c>
      <c r="E15" s="6">
        <v>2.0870000000000002</v>
      </c>
      <c r="F15" s="6">
        <v>1.7390000000000001</v>
      </c>
      <c r="G15" s="6">
        <v>1.9430000000000001</v>
      </c>
      <c r="H15" s="6">
        <v>1.7629999999999999</v>
      </c>
      <c r="I15" s="6">
        <v>2.6520000000000001</v>
      </c>
      <c r="J15" s="6">
        <v>2.1829999999999998</v>
      </c>
      <c r="K15" s="6">
        <v>3.028</v>
      </c>
    </row>
    <row r="16" spans="1:11" ht="27.6" customHeight="1" thickBot="1" x14ac:dyDescent="0.35">
      <c r="A16" s="31" t="s">
        <v>12</v>
      </c>
      <c r="B16" s="6">
        <v>6.0000000000000001E-3</v>
      </c>
      <c r="C16" s="6">
        <v>1.0999999999999999E-2</v>
      </c>
      <c r="D16" s="6">
        <v>1.2E-2</v>
      </c>
      <c r="E16" s="6">
        <v>2.3E-2</v>
      </c>
      <c r="F16" s="6">
        <v>1.2999999999999999E-2</v>
      </c>
      <c r="G16" s="6">
        <v>2.5999999999999999E-2</v>
      </c>
      <c r="H16" s="6">
        <v>1.6E-2</v>
      </c>
      <c r="I16" s="6">
        <v>0.03</v>
      </c>
      <c r="J16" s="6">
        <v>0.02</v>
      </c>
      <c r="K16" s="6">
        <v>0.04</v>
      </c>
    </row>
    <row r="17" spans="1:1" ht="18.600000000000001" thickBot="1" x14ac:dyDescent="0.35">
      <c r="A17" s="32" t="s">
        <v>21</v>
      </c>
    </row>
  </sheetData>
  <mergeCells count="18">
    <mergeCell ref="J1:K1"/>
    <mergeCell ref="A1:A2"/>
    <mergeCell ref="B1:C1"/>
    <mergeCell ref="D1:E1"/>
    <mergeCell ref="F1:G1"/>
    <mergeCell ref="H1:I1"/>
    <mergeCell ref="J13:K13"/>
    <mergeCell ref="A7:A8"/>
    <mergeCell ref="B7:C7"/>
    <mergeCell ref="D7:E7"/>
    <mergeCell ref="F7:G7"/>
    <mergeCell ref="H7:I7"/>
    <mergeCell ref="J7:K7"/>
    <mergeCell ref="A13:A14"/>
    <mergeCell ref="B13:C13"/>
    <mergeCell ref="D13:E13"/>
    <mergeCell ref="F13:G13"/>
    <mergeCell ref="H13:I13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30"/>
  <sheetViews>
    <sheetView tabSelected="1" zoomScale="55" zoomScaleNormal="55" workbookViewId="0">
      <selection activeCell="AK8" sqref="AK8"/>
    </sheetView>
  </sheetViews>
  <sheetFormatPr defaultRowHeight="14.4" x14ac:dyDescent="0.3"/>
  <cols>
    <col min="3" max="3" width="9" bestFit="1" customWidth="1"/>
    <col min="4" max="6" width="9.33203125" bestFit="1" customWidth="1"/>
    <col min="7" max="7" width="9.5546875" bestFit="1" customWidth="1"/>
    <col min="31" max="31" width="11.6640625" customWidth="1"/>
    <col min="32" max="32" width="11.88671875" customWidth="1"/>
    <col min="33" max="34" width="12.21875" customWidth="1"/>
    <col min="35" max="35" width="10.21875" customWidth="1"/>
    <col min="36" max="36" width="12.6640625" bestFit="1" customWidth="1"/>
    <col min="37" max="37" width="12" bestFit="1" customWidth="1"/>
  </cols>
  <sheetData>
    <row r="2" spans="1:37" ht="18" x14ac:dyDescent="0.35">
      <c r="A2" s="4" t="s">
        <v>42</v>
      </c>
      <c r="B2" s="2"/>
      <c r="C2" s="2"/>
      <c r="D2" s="2"/>
      <c r="E2" s="35"/>
      <c r="F2" s="2"/>
      <c r="I2" s="36" t="s">
        <v>32</v>
      </c>
      <c r="R2" s="36" t="s">
        <v>33</v>
      </c>
      <c r="AB2" s="54" t="s">
        <v>36</v>
      </c>
    </row>
    <row r="3" spans="1:37" ht="18" x14ac:dyDescent="0.35">
      <c r="A3" s="37" t="s">
        <v>6</v>
      </c>
      <c r="B3" s="38">
        <v>0.2</v>
      </c>
      <c r="C3" s="30" t="s">
        <v>22</v>
      </c>
      <c r="D3" s="30" t="s">
        <v>23</v>
      </c>
      <c r="E3" s="30" t="s">
        <v>24</v>
      </c>
      <c r="F3" s="30" t="s">
        <v>25</v>
      </c>
      <c r="G3" s="39" t="s">
        <v>27</v>
      </c>
      <c r="I3" s="37" t="s">
        <v>6</v>
      </c>
      <c r="J3" s="38">
        <v>0.2</v>
      </c>
      <c r="K3" s="30" t="s">
        <v>22</v>
      </c>
      <c r="L3" s="30" t="s">
        <v>23</v>
      </c>
      <c r="M3" s="30" t="s">
        <v>31</v>
      </c>
      <c r="N3" s="30" t="s">
        <v>29</v>
      </c>
      <c r="O3" s="49" t="s">
        <v>30</v>
      </c>
      <c r="P3" s="39"/>
      <c r="R3" s="37" t="s">
        <v>6</v>
      </c>
      <c r="S3" s="38">
        <v>0.2</v>
      </c>
      <c r="T3" s="30" t="s">
        <v>22</v>
      </c>
      <c r="U3" s="30" t="s">
        <v>23</v>
      </c>
      <c r="V3" s="30" t="s">
        <v>31</v>
      </c>
      <c r="W3" s="30" t="s">
        <v>34</v>
      </c>
      <c r="X3" s="49" t="s">
        <v>35</v>
      </c>
      <c r="Y3" s="39"/>
      <c r="AB3" s="5" t="s">
        <v>0</v>
      </c>
      <c r="AC3" s="5" t="s">
        <v>22</v>
      </c>
      <c r="AD3" s="5" t="s">
        <v>23</v>
      </c>
      <c r="AE3" s="56" t="s">
        <v>37</v>
      </c>
      <c r="AF3" s="56" t="s">
        <v>38</v>
      </c>
      <c r="AG3" s="56" t="s">
        <v>39</v>
      </c>
      <c r="AH3" s="56" t="s">
        <v>40</v>
      </c>
      <c r="AI3" s="56" t="s">
        <v>41</v>
      </c>
    </row>
    <row r="4" spans="1:37" ht="15.6" x14ac:dyDescent="0.3">
      <c r="B4" s="2"/>
      <c r="C4" s="51">
        <v>0</v>
      </c>
      <c r="D4" s="45">
        <f>(1.5)+(0.2*1.5*POWER(C4,2))+0.6</f>
        <v>2.1</v>
      </c>
      <c r="E4" s="45">
        <f>(0.5)*((C4^2+2) +( C4 + 2))</f>
        <v>2</v>
      </c>
      <c r="F4" s="45">
        <f>(E4-D4)</f>
        <v>-0.10000000000000009</v>
      </c>
      <c r="G4" s="47">
        <f>F4/E4</f>
        <v>-5.0000000000000044E-2</v>
      </c>
      <c r="J4" s="2"/>
      <c r="K4" s="51">
        <v>0</v>
      </c>
      <c r="L4" s="48">
        <f>(1.5)+(0.2*1.5*POWER(K4,2))</f>
        <v>1.5</v>
      </c>
      <c r="M4" s="45">
        <f>(0.5)*((K4^2+2) +( K4 + 2))-L4</f>
        <v>0.5</v>
      </c>
      <c r="N4" s="45">
        <f>K4+$J$3</f>
        <v>0.2</v>
      </c>
      <c r="O4" s="50">
        <f>L4+$J$3*M4</f>
        <v>1.6</v>
      </c>
      <c r="P4" s="8">
        <f>(L4+M4)/60</f>
        <v>3.3333333333333333E-2</v>
      </c>
      <c r="S4" s="2"/>
      <c r="T4" s="51">
        <v>0</v>
      </c>
      <c r="U4" s="48">
        <f>(1.5)+(0.2*1.5*POWER(T4,2))</f>
        <v>1.5</v>
      </c>
      <c r="V4" s="45">
        <f>(0.5)*((T4^2+2) +( T4 + 2))-U4</f>
        <v>0.5</v>
      </c>
      <c r="W4" s="45">
        <f>T4+$S$3/2</f>
        <v>0.1</v>
      </c>
      <c r="X4" s="50">
        <f>U4+$S$3*V4/2</f>
        <v>1.55</v>
      </c>
      <c r="Y4" s="8">
        <f>-(V4-X4)*$S$3/10</f>
        <v>2.1000000000000001E-2</v>
      </c>
      <c r="AB4" s="6">
        <v>0</v>
      </c>
      <c r="AC4" s="6">
        <v>0</v>
      </c>
      <c r="AD4" s="6">
        <f>(1.5)+(0.2*1.5*POWER(AC4,2))</f>
        <v>1.5</v>
      </c>
      <c r="AE4" s="6">
        <f>1.5*POWER(AC4,2)</f>
        <v>0</v>
      </c>
      <c r="AF4" s="6">
        <f>(1.5+$S$3/2)*(($S$3/2)+POWER(AC4,2)+AE4)</f>
        <v>0.16000000000000003</v>
      </c>
      <c r="AG4" s="6">
        <f>(1.5+$S$3/2)*(($S$3/2)+POWER(AC4,2)+AF4)</f>
        <v>0.41600000000000004</v>
      </c>
      <c r="AH4" s="6">
        <f>(1.5+$S$3)*(POWER(AC4,2)+($S$3)*AG4)</f>
        <v>0.14144000000000001</v>
      </c>
      <c r="AI4" s="6">
        <f>($S$3/6*(AE4+AF4+AG4+AH4)+AD4)*1.12</f>
        <v>1.706784426666667</v>
      </c>
      <c r="AJ4">
        <f>AD4-AI4</f>
        <v>-0.20678442666666697</v>
      </c>
      <c r="AK4">
        <f>AJ4/AD4</f>
        <v>-0.13785628444444464</v>
      </c>
    </row>
    <row r="5" spans="1:37" ht="15.6" x14ac:dyDescent="0.3">
      <c r="B5" s="2"/>
      <c r="C5" s="51">
        <f>C4+$J$3</f>
        <v>0.2</v>
      </c>
      <c r="D5" s="45">
        <f t="shared" ref="D5:D9" si="0">(1.5)+(0.2*1.5*POWER(C5,2))+0.6</f>
        <v>2.1120000000000001</v>
      </c>
      <c r="E5" s="45">
        <f t="shared" ref="E5:E9" si="1">(0.5)*((C5^2+2) +( C5 + 2))</f>
        <v>2.12</v>
      </c>
      <c r="F5" s="45">
        <f t="shared" ref="F5:F9" si="2">(E5-D5)</f>
        <v>8.0000000000000071E-3</v>
      </c>
      <c r="G5" s="47">
        <f t="shared" ref="G5:G9" si="3">F5/E5</f>
        <v>3.7735849056603804E-3</v>
      </c>
      <c r="J5" s="2"/>
      <c r="K5" s="51">
        <f>K4+$J$3</f>
        <v>0.2</v>
      </c>
      <c r="L5" s="48">
        <f t="shared" ref="L5:L9" si="4">(1.5)+(0.2*1.5*POWER(K5,2))</f>
        <v>1.512</v>
      </c>
      <c r="M5" s="45">
        <f t="shared" ref="M5:M8" si="5">(0.5)*((K5^2+2) +( K5 + 2))-L5</f>
        <v>0.6080000000000001</v>
      </c>
      <c r="N5" s="45">
        <f>K5+$J$3</f>
        <v>0.4</v>
      </c>
      <c r="O5" s="50">
        <f t="shared" ref="O5:O8" si="6">L5+$J$3*M5</f>
        <v>1.6335999999999999</v>
      </c>
      <c r="P5" s="8">
        <f t="shared" ref="P5:P8" si="7">(L5+M5)/60</f>
        <v>3.5333333333333335E-2</v>
      </c>
      <c r="S5" s="2"/>
      <c r="T5" s="51">
        <f>T4+$J$3</f>
        <v>0.2</v>
      </c>
      <c r="U5" s="48">
        <f t="shared" ref="U5:U9" si="8">(1.5)+(0.2*1.5*POWER(T5,2))</f>
        <v>1.512</v>
      </c>
      <c r="V5" s="45">
        <f t="shared" ref="V5:V8" si="9">(0.5)*((T5^2+2) +( T5 + 2))-U5</f>
        <v>0.6080000000000001</v>
      </c>
      <c r="W5" s="45">
        <f t="shared" ref="W5:W9" si="10">T5+$S$3/2</f>
        <v>0.30000000000000004</v>
      </c>
      <c r="X5" s="50">
        <f t="shared" ref="X5:X9" si="11">U5+$S$3*V5/2</f>
        <v>1.5728</v>
      </c>
      <c r="Y5" s="8">
        <f t="shared" ref="Y5:Y8" si="12">-(V5-X5)*$S$3/10</f>
        <v>1.9296000000000001E-2</v>
      </c>
      <c r="AB5" s="6">
        <v>1</v>
      </c>
      <c r="AC5" s="6">
        <f>AC4+0.2</f>
        <v>0.2</v>
      </c>
      <c r="AD5" s="6">
        <f t="shared" ref="AD5:AD9" si="13">(1.5)+(0.2*1.5*POWER(AC5,2))</f>
        <v>1.512</v>
      </c>
      <c r="AE5" s="6">
        <f t="shared" ref="AE5:AE8" si="14">1.5*POWER(AC5,2)</f>
        <v>6.0000000000000012E-2</v>
      </c>
      <c r="AF5" s="6">
        <f t="shared" ref="AF5:AF8" si="15">(1.5+$S$3/2)*(($S$3/2)+POWER(AC5,2)+AE5)</f>
        <v>0.32000000000000006</v>
      </c>
      <c r="AG5" s="6">
        <f t="shared" ref="AG5:AG8" si="16">(1.5+$S$3/2)*(($S$3/2)+POWER(AC5,2)+AF5)</f>
        <v>0.73600000000000021</v>
      </c>
      <c r="AH5" s="6">
        <f t="shared" ref="AH5:AH8" si="17">(1.5+$S$3)*(POWER(AC5,2)+($S$3)*AG5)</f>
        <v>0.31824000000000008</v>
      </c>
      <c r="AI5" s="6">
        <f t="shared" ref="AI5:AI9" si="18">($S$3/6*(AE5+AF5+AG5+AH5)+AD5)*1.12</f>
        <v>1.7469849600000003</v>
      </c>
      <c r="AJ5">
        <f t="shared" ref="AJ5:AJ9" si="19">AD5-AI5</f>
        <v>-0.23498496000000024</v>
      </c>
      <c r="AK5">
        <f t="shared" ref="AK5:AK9" si="20">AJ5/AD5</f>
        <v>-0.15541333333333349</v>
      </c>
    </row>
    <row r="6" spans="1:37" ht="15.6" x14ac:dyDescent="0.3">
      <c r="B6" s="2"/>
      <c r="C6" s="51">
        <f t="shared" ref="C6:C9" si="21">C5+$J$3</f>
        <v>0.4</v>
      </c>
      <c r="D6" s="45">
        <f t="shared" si="0"/>
        <v>2.1480000000000001</v>
      </c>
      <c r="E6" s="45">
        <f t="shared" si="1"/>
        <v>2.2800000000000002</v>
      </c>
      <c r="F6" s="45">
        <f t="shared" si="2"/>
        <v>0.13200000000000012</v>
      </c>
      <c r="G6" s="47">
        <f t="shared" si="3"/>
        <v>5.7894736842105311E-2</v>
      </c>
      <c r="J6" s="2"/>
      <c r="K6" s="51">
        <f t="shared" ref="K6:K9" si="22">K5+$J$3</f>
        <v>0.4</v>
      </c>
      <c r="L6" s="48">
        <f t="shared" si="4"/>
        <v>1.548</v>
      </c>
      <c r="M6" s="45">
        <f t="shared" si="5"/>
        <v>0.73200000000000021</v>
      </c>
      <c r="N6" s="45">
        <f t="shared" ref="N5:N9" si="23">K6+$J$3</f>
        <v>0.60000000000000009</v>
      </c>
      <c r="O6" s="50">
        <f>L6+$J$3*M6</f>
        <v>1.6944000000000001</v>
      </c>
      <c r="P6" s="8">
        <f t="shared" si="7"/>
        <v>3.8000000000000006E-2</v>
      </c>
      <c r="S6" s="2"/>
      <c r="T6" s="51">
        <f t="shared" ref="T6:T9" si="24">T5+$J$3</f>
        <v>0.4</v>
      </c>
      <c r="U6" s="48">
        <f t="shared" si="8"/>
        <v>1.548</v>
      </c>
      <c r="V6" s="45">
        <f t="shared" si="9"/>
        <v>0.73200000000000021</v>
      </c>
      <c r="W6" s="45">
        <f t="shared" si="10"/>
        <v>0.5</v>
      </c>
      <c r="X6" s="50">
        <f>U6+$S$3*V6/2</f>
        <v>1.6212</v>
      </c>
      <c r="Y6" s="8">
        <f t="shared" si="12"/>
        <v>1.7783999999999998E-2</v>
      </c>
      <c r="AB6" s="6">
        <v>2</v>
      </c>
      <c r="AC6" s="6">
        <f t="shared" ref="AC6:AC9" si="25">AC5+0.2</f>
        <v>0.4</v>
      </c>
      <c r="AD6" s="6">
        <f t="shared" si="13"/>
        <v>1.548</v>
      </c>
      <c r="AE6" s="6">
        <f t="shared" si="14"/>
        <v>0.24000000000000005</v>
      </c>
      <c r="AF6" s="6">
        <f t="shared" si="15"/>
        <v>0.8</v>
      </c>
      <c r="AG6" s="6">
        <f t="shared" si="16"/>
        <v>1.6960000000000002</v>
      </c>
      <c r="AH6" s="6">
        <f t="shared" si="17"/>
        <v>0.84864000000000017</v>
      </c>
      <c r="AI6" s="6">
        <f>($S$3/6*(AE6+AF6+AG6+AH6)+AD6)*1.12</f>
        <v>1.8675865600000003</v>
      </c>
      <c r="AJ6">
        <f>AD6-AI6</f>
        <v>-0.3195865600000003</v>
      </c>
      <c r="AK6">
        <f>AJ6/AD6</f>
        <v>-0.206451266149871</v>
      </c>
    </row>
    <row r="7" spans="1:37" ht="15.6" x14ac:dyDescent="0.3">
      <c r="B7" s="2"/>
      <c r="C7" s="51">
        <f t="shared" si="21"/>
        <v>0.60000000000000009</v>
      </c>
      <c r="D7" s="45">
        <f t="shared" si="0"/>
        <v>2.2080000000000002</v>
      </c>
      <c r="E7" s="45">
        <f t="shared" si="1"/>
        <v>2.4800000000000004</v>
      </c>
      <c r="F7" s="45">
        <f t="shared" si="2"/>
        <v>0.27200000000000024</v>
      </c>
      <c r="G7" s="47">
        <f t="shared" si="3"/>
        <v>0.10967741935483878</v>
      </c>
      <c r="J7" s="2"/>
      <c r="K7" s="51">
        <f t="shared" si="22"/>
        <v>0.60000000000000009</v>
      </c>
      <c r="L7" s="48">
        <f t="shared" si="4"/>
        <v>1.6080000000000001</v>
      </c>
      <c r="M7" s="45">
        <f t="shared" si="5"/>
        <v>0.87200000000000033</v>
      </c>
      <c r="N7" s="45">
        <f>K7+$J$3</f>
        <v>0.8</v>
      </c>
      <c r="O7" s="50">
        <f t="shared" si="6"/>
        <v>1.7824000000000002</v>
      </c>
      <c r="P7" s="8">
        <f t="shared" si="7"/>
        <v>4.133333333333334E-2</v>
      </c>
      <c r="S7" s="2"/>
      <c r="T7" s="51">
        <f t="shared" si="24"/>
        <v>0.60000000000000009</v>
      </c>
      <c r="U7" s="48">
        <f t="shared" si="8"/>
        <v>1.6080000000000001</v>
      </c>
      <c r="V7" s="45">
        <f t="shared" si="9"/>
        <v>0.87200000000000033</v>
      </c>
      <c r="W7" s="45">
        <f t="shared" si="10"/>
        <v>0.70000000000000007</v>
      </c>
      <c r="X7" s="50">
        <f t="shared" si="11"/>
        <v>1.6952</v>
      </c>
      <c r="Y7" s="8">
        <f t="shared" si="12"/>
        <v>1.6463999999999996E-2</v>
      </c>
      <c r="AB7" s="6">
        <v>3</v>
      </c>
      <c r="AC7" s="6">
        <f t="shared" si="25"/>
        <v>0.60000000000000009</v>
      </c>
      <c r="AD7" s="6">
        <f t="shared" si="13"/>
        <v>1.6080000000000001</v>
      </c>
      <c r="AE7" s="6">
        <f t="shared" si="14"/>
        <v>0.54000000000000015</v>
      </c>
      <c r="AF7" s="6">
        <f t="shared" si="15"/>
        <v>1.6000000000000005</v>
      </c>
      <c r="AG7" s="6">
        <f t="shared" si="16"/>
        <v>3.2960000000000012</v>
      </c>
      <c r="AH7" s="6">
        <f t="shared" si="17"/>
        <v>1.7326400000000004</v>
      </c>
      <c r="AI7" s="6">
        <f t="shared" si="18"/>
        <v>2.068589226666667</v>
      </c>
      <c r="AJ7">
        <f>ABS(AD7-AI7)</f>
        <v>0.46058922666666691</v>
      </c>
      <c r="AK7">
        <f>AJ7/AD7</f>
        <v>0.28643608623548933</v>
      </c>
    </row>
    <row r="8" spans="1:37" ht="15.6" x14ac:dyDescent="0.3">
      <c r="B8" s="2"/>
      <c r="C8" s="51">
        <f t="shared" si="21"/>
        <v>0.8</v>
      </c>
      <c r="D8" s="45">
        <f t="shared" si="0"/>
        <v>2.2920000000000003</v>
      </c>
      <c r="E8" s="45">
        <f t="shared" si="1"/>
        <v>2.7199999999999998</v>
      </c>
      <c r="F8" s="45">
        <f t="shared" si="2"/>
        <v>0.42799999999999949</v>
      </c>
      <c r="G8" s="47">
        <f>F8/E8</f>
        <v>0.15735294117647042</v>
      </c>
      <c r="J8" s="2"/>
      <c r="K8" s="51">
        <f t="shared" si="22"/>
        <v>0.8</v>
      </c>
      <c r="L8" s="48">
        <f t="shared" si="4"/>
        <v>1.6920000000000002</v>
      </c>
      <c r="M8" s="45">
        <f t="shared" si="5"/>
        <v>1.0279999999999996</v>
      </c>
      <c r="N8" s="45">
        <f t="shared" si="23"/>
        <v>1</v>
      </c>
      <c r="O8" s="50">
        <f t="shared" si="6"/>
        <v>1.8976000000000002</v>
      </c>
      <c r="P8" s="8">
        <f t="shared" si="7"/>
        <v>4.533333333333333E-2</v>
      </c>
      <c r="S8" s="2"/>
      <c r="T8" s="51">
        <f t="shared" si="24"/>
        <v>0.8</v>
      </c>
      <c r="U8" s="48">
        <f t="shared" si="8"/>
        <v>1.6920000000000002</v>
      </c>
      <c r="V8" s="45">
        <f t="shared" si="9"/>
        <v>1.0279999999999996</v>
      </c>
      <c r="W8" s="45">
        <f t="shared" si="10"/>
        <v>0.9</v>
      </c>
      <c r="X8" s="50">
        <f t="shared" si="11"/>
        <v>1.7948000000000002</v>
      </c>
      <c r="Y8" s="8">
        <f t="shared" si="12"/>
        <v>1.5336000000000013E-2</v>
      </c>
      <c r="AB8" s="6">
        <v>4</v>
      </c>
      <c r="AC8" s="6">
        <f t="shared" si="25"/>
        <v>0.8</v>
      </c>
      <c r="AD8" s="6">
        <f t="shared" si="13"/>
        <v>1.6920000000000002</v>
      </c>
      <c r="AE8" s="6">
        <f t="shared" si="14"/>
        <v>0.96000000000000019</v>
      </c>
      <c r="AF8" s="6">
        <f t="shared" si="15"/>
        <v>2.7200000000000006</v>
      </c>
      <c r="AG8" s="6">
        <f t="shared" si="16"/>
        <v>5.5360000000000014</v>
      </c>
      <c r="AH8" s="6">
        <f t="shared" si="17"/>
        <v>2.9702400000000009</v>
      </c>
      <c r="AI8" s="6">
        <f t="shared" si="18"/>
        <v>2.3499929600000002</v>
      </c>
      <c r="AJ8">
        <f>ABS(AD8-AI8)</f>
        <v>0.65799296000000007</v>
      </c>
      <c r="AK8">
        <f t="shared" si="20"/>
        <v>0.38888472813238772</v>
      </c>
    </row>
    <row r="9" spans="1:37" ht="16.2" thickBot="1" x14ac:dyDescent="0.35">
      <c r="B9" s="2"/>
      <c r="C9" s="51">
        <f t="shared" si="21"/>
        <v>1</v>
      </c>
      <c r="D9" s="45">
        <f t="shared" si="0"/>
        <v>2.4</v>
      </c>
      <c r="E9" s="45">
        <f t="shared" si="1"/>
        <v>3</v>
      </c>
      <c r="F9" s="45">
        <f t="shared" si="2"/>
        <v>0.60000000000000009</v>
      </c>
      <c r="G9" s="47">
        <f t="shared" si="3"/>
        <v>0.20000000000000004</v>
      </c>
      <c r="K9" s="51">
        <f t="shared" si="22"/>
        <v>1</v>
      </c>
      <c r="L9" s="48">
        <f t="shared" si="4"/>
        <v>1.8</v>
      </c>
      <c r="M9" s="45"/>
      <c r="N9" s="45">
        <f t="shared" si="23"/>
        <v>1.2</v>
      </c>
      <c r="O9" s="50">
        <f>L9+$J$3*M9</f>
        <v>1.8</v>
      </c>
      <c r="P9" s="8"/>
      <c r="T9" s="51">
        <f t="shared" si="24"/>
        <v>1</v>
      </c>
      <c r="U9" s="48">
        <f t="shared" si="8"/>
        <v>1.8</v>
      </c>
      <c r="V9" s="45"/>
      <c r="W9" s="45">
        <f>T9+$S$3/2</f>
        <v>1.1000000000000001</v>
      </c>
      <c r="X9" s="50">
        <f t="shared" si="11"/>
        <v>1.8</v>
      </c>
      <c r="Y9" s="8"/>
      <c r="AB9" s="6">
        <v>5</v>
      </c>
      <c r="AC9" s="6">
        <f t="shared" si="25"/>
        <v>1</v>
      </c>
      <c r="AD9" s="6">
        <f t="shared" si="13"/>
        <v>1.8</v>
      </c>
      <c r="AE9" s="6"/>
      <c r="AF9" s="6"/>
      <c r="AG9" s="6"/>
      <c r="AH9" s="6"/>
      <c r="AI9" s="6">
        <f t="shared" si="18"/>
        <v>2.0160000000000005</v>
      </c>
      <c r="AJ9">
        <f t="shared" si="19"/>
        <v>-0.21600000000000041</v>
      </c>
      <c r="AK9">
        <f t="shared" si="20"/>
        <v>-0.12000000000000023</v>
      </c>
    </row>
    <row r="10" spans="1:37" ht="18.600000000000001" thickBot="1" x14ac:dyDescent="0.35">
      <c r="B10" s="2"/>
      <c r="C10" s="2"/>
      <c r="D10" s="2"/>
      <c r="E10" s="40" t="s">
        <v>26</v>
      </c>
      <c r="F10" s="43">
        <f>SUM(F4:F9)/5</f>
        <v>0.26799999999999996</v>
      </c>
    </row>
    <row r="11" spans="1:37" ht="18.600000000000001" thickBot="1" x14ac:dyDescent="0.35">
      <c r="B11" s="2"/>
      <c r="C11" s="2"/>
      <c r="D11" s="2"/>
      <c r="E11" s="41" t="s">
        <v>28</v>
      </c>
      <c r="F11" s="42">
        <f>SUM(G4:G9)/5</f>
        <v>9.5739736455814975E-2</v>
      </c>
      <c r="N11" s="40" t="s">
        <v>26</v>
      </c>
      <c r="O11" s="43">
        <f>SUM(P4:P8)/4</f>
        <v>4.8333333333333339E-2</v>
      </c>
      <c r="W11" s="40" t="s">
        <v>26</v>
      </c>
      <c r="X11" s="43">
        <f>SUM(Y4:Y8)/5</f>
        <v>1.7975999999999999E-2</v>
      </c>
      <c r="AH11" s="5" t="s">
        <v>4</v>
      </c>
      <c r="AI11" s="5">
        <f>SUM(AJ4:AJ9)/6</f>
        <v>2.3537706666666509E-2</v>
      </c>
    </row>
    <row r="12" spans="1:37" ht="18.600000000000001" thickBot="1" x14ac:dyDescent="0.35">
      <c r="A12" s="4" t="s">
        <v>42</v>
      </c>
      <c r="N12" s="41" t="s">
        <v>28</v>
      </c>
      <c r="O12" s="42">
        <f>O11/(2/3)</f>
        <v>7.2500000000000009E-2</v>
      </c>
      <c r="W12" s="41" t="s">
        <v>28</v>
      </c>
      <c r="X12" s="42">
        <f>X11/(2/3)</f>
        <v>2.6963999999999998E-2</v>
      </c>
      <c r="AH12" s="5" t="s">
        <v>5</v>
      </c>
      <c r="AI12" s="57">
        <f>(AK4+AK5+AK6+AK7+AK8+AK9)/6</f>
        <v>9.2666550733712817E-3</v>
      </c>
    </row>
    <row r="13" spans="1:37" ht="18" x14ac:dyDescent="0.35">
      <c r="A13" s="37" t="s">
        <v>6</v>
      </c>
      <c r="B13" s="38">
        <v>0.1</v>
      </c>
      <c r="C13" s="30" t="s">
        <v>22</v>
      </c>
      <c r="D13" s="30" t="s">
        <v>23</v>
      </c>
      <c r="E13" s="30" t="s">
        <v>24</v>
      </c>
      <c r="F13" s="30" t="s">
        <v>25</v>
      </c>
      <c r="G13" s="39" t="s">
        <v>27</v>
      </c>
      <c r="I13" s="53" t="s">
        <v>32</v>
      </c>
      <c r="R13" s="53" t="s">
        <v>33</v>
      </c>
    </row>
    <row r="14" spans="1:37" ht="18" x14ac:dyDescent="0.35">
      <c r="B14" s="2"/>
      <c r="C14" s="44">
        <v>0</v>
      </c>
      <c r="D14" s="45">
        <f>(1.5)+(0.1*1.5*POWER(C14,2))+0.6</f>
        <v>2.1</v>
      </c>
      <c r="E14" s="45">
        <f>(0.5)*((C14^2+2) +( C14 + 2))</f>
        <v>2</v>
      </c>
      <c r="F14" s="45">
        <f>(E14-D14)</f>
        <v>-0.10000000000000009</v>
      </c>
      <c r="G14" s="46">
        <f>F14/E14</f>
        <v>-5.0000000000000044E-2</v>
      </c>
      <c r="I14" s="52" t="s">
        <v>6</v>
      </c>
      <c r="J14" s="38">
        <v>0.1</v>
      </c>
      <c r="K14" s="30" t="s">
        <v>22</v>
      </c>
      <c r="L14" s="30" t="s">
        <v>23</v>
      </c>
      <c r="M14" s="30" t="s">
        <v>31</v>
      </c>
      <c r="N14" s="30" t="s">
        <v>29</v>
      </c>
      <c r="O14" s="49" t="s">
        <v>30</v>
      </c>
      <c r="P14" s="39"/>
      <c r="R14" s="52" t="s">
        <v>6</v>
      </c>
      <c r="S14" s="38">
        <v>0.1</v>
      </c>
      <c r="T14" s="30" t="s">
        <v>22</v>
      </c>
      <c r="U14" s="30" t="s">
        <v>23</v>
      </c>
      <c r="V14" s="30" t="s">
        <v>31</v>
      </c>
      <c r="W14" s="30" t="s">
        <v>34</v>
      </c>
      <c r="X14" s="49" t="s">
        <v>35</v>
      </c>
      <c r="Y14" s="39"/>
      <c r="AB14" s="54" t="s">
        <v>36</v>
      </c>
    </row>
    <row r="15" spans="1:37" ht="15.6" x14ac:dyDescent="0.3">
      <c r="B15" s="2"/>
      <c r="C15" s="44">
        <f>C14+$B$13</f>
        <v>0.1</v>
      </c>
      <c r="D15" s="45">
        <f t="shared" ref="D15:D24" si="26">(1.5)+(0.1*1.5*POWER(C15,2))+0.6</f>
        <v>2.1015000000000001</v>
      </c>
      <c r="E15" s="45">
        <f t="shared" ref="E15:E24" si="27">(0.5)*((C15^2+2) +( C15 + 2))</f>
        <v>2.0549999999999997</v>
      </c>
      <c r="F15" s="45">
        <f>(E15-D15)</f>
        <v>-4.650000000000043E-2</v>
      </c>
      <c r="G15" s="46">
        <f t="shared" ref="G15:G19" si="28">F15/E15</f>
        <v>-2.2627737226277585E-2</v>
      </c>
      <c r="J15" s="2"/>
      <c r="K15" s="51">
        <v>0</v>
      </c>
      <c r="L15" s="48">
        <f>(1.5)+(0.2*1.5*POWER(K15,2))</f>
        <v>1.5</v>
      </c>
      <c r="M15" s="45">
        <f>(0.5)*((K15^2+2) +( K15 + 2))-L15</f>
        <v>0.5</v>
      </c>
      <c r="N15" s="45">
        <f>K15+$J$14</f>
        <v>0.1</v>
      </c>
      <c r="O15" s="50">
        <f>L15+$J$3*M15</f>
        <v>1.6</v>
      </c>
      <c r="P15" s="8">
        <f>(L15+M15)/60</f>
        <v>3.3333333333333333E-2</v>
      </c>
      <c r="S15" s="2"/>
      <c r="T15" s="51">
        <v>0</v>
      </c>
      <c r="U15" s="48">
        <f>(1.5)+(0.2*1.5*POWER(T15,2))</f>
        <v>1.5</v>
      </c>
      <c r="V15" s="45">
        <f>(0.5)*((T15^2+2) +( T15 + 2))-U15</f>
        <v>0.5</v>
      </c>
      <c r="W15" s="45">
        <f>T15+$S$14/2</f>
        <v>0.05</v>
      </c>
      <c r="X15" s="50">
        <f>U15+$S$14*V15/2</f>
        <v>1.5249999999999999</v>
      </c>
      <c r="Y15" s="8">
        <f>-(V15-X15)*$S$3/10</f>
        <v>2.0499999999999997E-2</v>
      </c>
      <c r="AB15" s="5" t="s">
        <v>0</v>
      </c>
      <c r="AC15" s="5" t="s">
        <v>22</v>
      </c>
      <c r="AD15" s="5" t="s">
        <v>23</v>
      </c>
      <c r="AE15" s="56" t="s">
        <v>37</v>
      </c>
      <c r="AF15" s="56" t="s">
        <v>38</v>
      </c>
      <c r="AG15" s="56" t="s">
        <v>39</v>
      </c>
      <c r="AH15" s="56" t="s">
        <v>40</v>
      </c>
      <c r="AI15" s="56" t="s">
        <v>41</v>
      </c>
    </row>
    <row r="16" spans="1:37" ht="15.6" x14ac:dyDescent="0.3">
      <c r="B16" s="2"/>
      <c r="C16" s="44">
        <f t="shared" ref="C16:C23" si="29">C15+$B$13</f>
        <v>0.2</v>
      </c>
      <c r="D16" s="45">
        <f t="shared" si="26"/>
        <v>2.1059999999999999</v>
      </c>
      <c r="E16" s="45">
        <f t="shared" si="27"/>
        <v>2.12</v>
      </c>
      <c r="F16" s="45">
        <f>(E16-D16)</f>
        <v>1.4000000000000234E-2</v>
      </c>
      <c r="G16" s="46">
        <f t="shared" si="28"/>
        <v>6.6037735849057708E-3</v>
      </c>
      <c r="J16" s="2"/>
      <c r="K16" s="51">
        <f>K15+$J$14</f>
        <v>0.1</v>
      </c>
      <c r="L16" s="48">
        <f t="shared" ref="L16:L25" si="30">(1.5)+(0.2*1.5*POWER(K16,2))</f>
        <v>1.5029999999999999</v>
      </c>
      <c r="M16" s="45">
        <f t="shared" ref="M16:M24" si="31">(0.5)*((K16^2+2) +( K16 + 2))-L16</f>
        <v>0.55199999999999982</v>
      </c>
      <c r="N16" s="45">
        <f t="shared" ref="N16:N25" si="32">K16+$J$14</f>
        <v>0.2</v>
      </c>
      <c r="O16" s="50">
        <f t="shared" ref="O16:O25" si="33">L16+$J$3*M16</f>
        <v>1.6133999999999999</v>
      </c>
      <c r="P16" s="8">
        <f t="shared" ref="P16:P24" si="34">(L16+M16)/60</f>
        <v>3.4249999999999996E-2</v>
      </c>
      <c r="S16" s="2"/>
      <c r="T16" s="51">
        <f>T15+$J$14</f>
        <v>0.1</v>
      </c>
      <c r="U16" s="48">
        <f t="shared" ref="U16:U25" si="35">(1.5)+(0.2*1.5*POWER(T16,2))</f>
        <v>1.5029999999999999</v>
      </c>
      <c r="V16" s="45">
        <f t="shared" ref="V16:V24" si="36">(0.5)*((T16^2+2) +( T16 + 2))-U16</f>
        <v>0.55199999999999982</v>
      </c>
      <c r="W16" s="45">
        <f t="shared" ref="W16:W25" si="37">T16+$S$14/2</f>
        <v>0.15000000000000002</v>
      </c>
      <c r="X16" s="50">
        <f>U16+$S$14*V16/2</f>
        <v>1.5306</v>
      </c>
      <c r="Y16" s="8">
        <f t="shared" ref="Y16:Y24" si="38">-(V16-X16)*$S$3/10</f>
        <v>1.9572000000000003E-2</v>
      </c>
      <c r="AB16" s="6">
        <v>0</v>
      </c>
      <c r="AC16" s="6">
        <v>0</v>
      </c>
      <c r="AD16" s="6">
        <f>(1.5)+(0.2*1.5*POWER(AC16,2))</f>
        <v>1.5</v>
      </c>
      <c r="AE16" s="21">
        <f>1.5*POWER(AC16,2)</f>
        <v>0</v>
      </c>
      <c r="AF16" s="6">
        <f>(1.5+$S$3/2)*(($S$3/2)+POWER(AC16,2)+AE16)</f>
        <v>0.16000000000000003</v>
      </c>
      <c r="AG16" s="6">
        <f>(1.5+$S$3/2)*(($S$3/2)+POWER(AC16,2)+AF16)</f>
        <v>0.41600000000000004</v>
      </c>
      <c r="AH16" s="6">
        <f>(1.5+$S$3)*(POWER(AC16,2)+($S$3)*AG16)</f>
        <v>0.14144000000000001</v>
      </c>
      <c r="AI16" s="6">
        <f>($S$3/6*(AE16+AF16+AG16+AH16)+AD16)*0.9</f>
        <v>1.3715232000000002</v>
      </c>
      <c r="AJ16">
        <v>0</v>
      </c>
      <c r="AK16">
        <f>AJ16/AD16</f>
        <v>0</v>
      </c>
    </row>
    <row r="17" spans="2:37" ht="15.6" x14ac:dyDescent="0.3">
      <c r="B17" s="2"/>
      <c r="C17" s="44">
        <f t="shared" si="29"/>
        <v>0.30000000000000004</v>
      </c>
      <c r="D17" s="45">
        <f t="shared" si="26"/>
        <v>2.1135000000000002</v>
      </c>
      <c r="E17" s="45">
        <f t="shared" si="27"/>
        <v>2.1949999999999998</v>
      </c>
      <c r="F17" s="45">
        <f t="shared" ref="F16:F19" si="39">(E17-D17)</f>
        <v>8.1499999999999684E-2</v>
      </c>
      <c r="G17" s="46">
        <f t="shared" si="28"/>
        <v>3.71298405466969E-2</v>
      </c>
      <c r="J17" s="2"/>
      <c r="K17" s="51">
        <f t="shared" ref="K17:K25" si="40">K16+$J$14</f>
        <v>0.2</v>
      </c>
      <c r="L17" s="48">
        <f t="shared" si="30"/>
        <v>1.512</v>
      </c>
      <c r="M17" s="45">
        <f t="shared" si="31"/>
        <v>0.6080000000000001</v>
      </c>
      <c r="N17" s="45">
        <f t="shared" si="32"/>
        <v>0.30000000000000004</v>
      </c>
      <c r="O17" s="50">
        <f t="shared" si="33"/>
        <v>1.6335999999999999</v>
      </c>
      <c r="P17" s="8">
        <f t="shared" si="34"/>
        <v>3.5333333333333335E-2</v>
      </c>
      <c r="S17" s="2"/>
      <c r="T17" s="51">
        <f t="shared" ref="T17:T23" si="41">T16+$J$14</f>
        <v>0.2</v>
      </c>
      <c r="U17" s="48">
        <f t="shared" si="35"/>
        <v>1.512</v>
      </c>
      <c r="V17" s="45">
        <f t="shared" si="36"/>
        <v>0.6080000000000001</v>
      </c>
      <c r="W17" s="45">
        <f t="shared" si="37"/>
        <v>0.25</v>
      </c>
      <c r="X17" s="50">
        <f t="shared" ref="X17:X25" si="42">U17+$S$14*V17/2</f>
        <v>1.5424</v>
      </c>
      <c r="Y17" s="8">
        <f t="shared" si="38"/>
        <v>1.8688E-2</v>
      </c>
      <c r="AB17" s="6">
        <v>1</v>
      </c>
      <c r="AC17" s="6">
        <f>AC16+0.1</f>
        <v>0.1</v>
      </c>
      <c r="AD17" s="6">
        <f t="shared" ref="AD17:AD26" si="43">(1.5)+(0.2*1.5*POWER(AC17,2))</f>
        <v>1.5029999999999999</v>
      </c>
      <c r="AE17" s="21">
        <f t="shared" ref="AE17:AE25" si="44">1.5*POWER(AC17,2)</f>
        <v>1.5000000000000003E-2</v>
      </c>
      <c r="AF17" s="6">
        <f t="shared" ref="AF17:AF25" si="45">(1.5+$S$3/2)*(($S$3/2)+POWER(AC17,2)+AE17)</f>
        <v>0.20000000000000007</v>
      </c>
      <c r="AG17" s="6">
        <f t="shared" ref="AG17:AG25" si="46">(1.5+$S$3/2)*(($S$3/2)+POWER(AC17,2)+AF17)</f>
        <v>0.49600000000000011</v>
      </c>
      <c r="AH17" s="6">
        <f t="shared" ref="AH17:AH25" si="47">(1.5+$S$3)*(POWER(AC17,2)+($S$3)*AG17)</f>
        <v>0.18564000000000003</v>
      </c>
      <c r="AI17" s="6">
        <f t="shared" ref="AI17:AI26" si="48">($S$3/6*(AE17+AF17+AG17+AH17)+AD17)*0.9</f>
        <v>1.3795991999999999</v>
      </c>
      <c r="AJ17">
        <f>(AI17-AD17)</f>
        <v>-0.12340079999999998</v>
      </c>
      <c r="AK17">
        <f>AJ17/AD17</f>
        <v>-8.2102994011976044E-2</v>
      </c>
    </row>
    <row r="18" spans="2:37" ht="15.6" x14ac:dyDescent="0.3">
      <c r="B18" s="2"/>
      <c r="C18" s="44">
        <f t="shared" si="29"/>
        <v>0.4</v>
      </c>
      <c r="D18" s="45">
        <f t="shared" si="26"/>
        <v>2.1240000000000001</v>
      </c>
      <c r="E18" s="45">
        <f t="shared" si="27"/>
        <v>2.2800000000000002</v>
      </c>
      <c r="F18" s="45">
        <f t="shared" si="39"/>
        <v>0.15600000000000014</v>
      </c>
      <c r="G18" s="46">
        <f t="shared" si="28"/>
        <v>6.8421052631579007E-2</v>
      </c>
      <c r="J18" s="2"/>
      <c r="K18" s="51">
        <f t="shared" si="40"/>
        <v>0.30000000000000004</v>
      </c>
      <c r="L18" s="48">
        <f t="shared" si="30"/>
        <v>1.5269999999999999</v>
      </c>
      <c r="M18" s="45">
        <f t="shared" si="31"/>
        <v>0.66799999999999993</v>
      </c>
      <c r="N18" s="45">
        <f t="shared" si="32"/>
        <v>0.4</v>
      </c>
      <c r="O18" s="50">
        <f t="shared" si="33"/>
        <v>1.6605999999999999</v>
      </c>
      <c r="P18" s="8">
        <f t="shared" si="34"/>
        <v>3.6583333333333329E-2</v>
      </c>
      <c r="S18" s="2"/>
      <c r="T18" s="51">
        <f t="shared" si="41"/>
        <v>0.30000000000000004</v>
      </c>
      <c r="U18" s="48">
        <f t="shared" si="35"/>
        <v>1.5269999999999999</v>
      </c>
      <c r="V18" s="45">
        <f t="shared" si="36"/>
        <v>0.66799999999999993</v>
      </c>
      <c r="W18" s="45">
        <f t="shared" si="37"/>
        <v>0.35000000000000003</v>
      </c>
      <c r="X18" s="50">
        <f t="shared" si="42"/>
        <v>1.5604</v>
      </c>
      <c r="Y18" s="8">
        <f t="shared" si="38"/>
        <v>1.7848000000000003E-2</v>
      </c>
      <c r="AB18" s="6">
        <v>2</v>
      </c>
      <c r="AC18" s="6">
        <f t="shared" ref="AC18:AC26" si="49">AC17+0.1</f>
        <v>0.2</v>
      </c>
      <c r="AD18" s="6">
        <f t="shared" si="43"/>
        <v>1.512</v>
      </c>
      <c r="AE18" s="21">
        <f t="shared" si="44"/>
        <v>6.0000000000000012E-2</v>
      </c>
      <c r="AF18" s="6">
        <f t="shared" si="45"/>
        <v>0.32000000000000006</v>
      </c>
      <c r="AG18" s="6">
        <f t="shared" si="46"/>
        <v>0.73600000000000021</v>
      </c>
      <c r="AH18" s="6">
        <f t="shared" si="47"/>
        <v>0.31824000000000008</v>
      </c>
      <c r="AI18" s="6">
        <f t="shared" si="48"/>
        <v>1.4038272000000001</v>
      </c>
      <c r="AJ18">
        <f t="shared" ref="AJ18:AJ26" si="50">(AI18-AD18)</f>
        <v>-0.10817279999999996</v>
      </c>
      <c r="AK18">
        <f t="shared" ref="AK18:AK26" si="51">AJ18/AD18</f>
        <v>-7.1542857142857116E-2</v>
      </c>
    </row>
    <row r="19" spans="2:37" ht="15.6" x14ac:dyDescent="0.3">
      <c r="B19" s="2"/>
      <c r="C19" s="44">
        <f t="shared" si="29"/>
        <v>0.5</v>
      </c>
      <c r="D19" s="45">
        <f t="shared" si="26"/>
        <v>2.1375000000000002</v>
      </c>
      <c r="E19" s="45">
        <f t="shared" si="27"/>
        <v>2.375</v>
      </c>
      <c r="F19" s="45">
        <f t="shared" si="39"/>
        <v>0.23749999999999982</v>
      </c>
      <c r="G19" s="46">
        <f t="shared" si="28"/>
        <v>9.9999999999999922E-2</v>
      </c>
      <c r="J19" s="2"/>
      <c r="K19" s="51">
        <f t="shared" si="40"/>
        <v>0.4</v>
      </c>
      <c r="L19" s="48">
        <f t="shared" si="30"/>
        <v>1.548</v>
      </c>
      <c r="M19" s="45">
        <f t="shared" si="31"/>
        <v>0.73200000000000021</v>
      </c>
      <c r="N19" s="45">
        <f t="shared" si="32"/>
        <v>0.5</v>
      </c>
      <c r="O19" s="50">
        <f t="shared" si="33"/>
        <v>1.6944000000000001</v>
      </c>
      <c r="P19" s="8">
        <f t="shared" si="34"/>
        <v>3.8000000000000006E-2</v>
      </c>
      <c r="S19" s="2"/>
      <c r="T19" s="51">
        <f t="shared" si="41"/>
        <v>0.4</v>
      </c>
      <c r="U19" s="48">
        <f t="shared" si="35"/>
        <v>1.548</v>
      </c>
      <c r="V19" s="45">
        <f t="shared" si="36"/>
        <v>0.73200000000000021</v>
      </c>
      <c r="W19" s="45">
        <f t="shared" si="37"/>
        <v>0.45</v>
      </c>
      <c r="X19" s="50">
        <f t="shared" si="42"/>
        <v>1.5846</v>
      </c>
      <c r="Y19" s="8">
        <f t="shared" si="38"/>
        <v>1.7051999999999998E-2</v>
      </c>
      <c r="AB19" s="6">
        <v>3</v>
      </c>
      <c r="AC19" s="6">
        <f t="shared" si="49"/>
        <v>0.30000000000000004</v>
      </c>
      <c r="AD19" s="6">
        <f t="shared" si="43"/>
        <v>1.5269999999999999</v>
      </c>
      <c r="AE19" s="21">
        <f t="shared" si="44"/>
        <v>0.13500000000000004</v>
      </c>
      <c r="AF19" s="6">
        <f t="shared" si="45"/>
        <v>0.52000000000000013</v>
      </c>
      <c r="AG19" s="6">
        <f t="shared" si="46"/>
        <v>1.1360000000000003</v>
      </c>
      <c r="AH19" s="6">
        <f t="shared" si="47"/>
        <v>0.53924000000000016</v>
      </c>
      <c r="AI19" s="6">
        <f t="shared" si="48"/>
        <v>1.4442072000000001</v>
      </c>
      <c r="AJ19">
        <f t="shared" si="50"/>
        <v>-8.2792799999999778E-2</v>
      </c>
      <c r="AK19">
        <f t="shared" si="51"/>
        <v>-5.4219253438113804E-2</v>
      </c>
    </row>
    <row r="20" spans="2:37" ht="15.6" x14ac:dyDescent="0.3">
      <c r="B20" s="2"/>
      <c r="C20" s="44">
        <f t="shared" si="29"/>
        <v>0.6</v>
      </c>
      <c r="D20" s="45">
        <f t="shared" si="26"/>
        <v>2.1539999999999999</v>
      </c>
      <c r="E20" s="45">
        <f t="shared" si="27"/>
        <v>2.48</v>
      </c>
      <c r="F20" s="45">
        <f t="shared" ref="F20:F24" si="52">(E20-D20)</f>
        <v>0.32600000000000007</v>
      </c>
      <c r="G20" s="46">
        <f t="shared" ref="G20:G24" si="53">F20/E20</f>
        <v>0.13145161290322582</v>
      </c>
      <c r="K20" s="51">
        <f t="shared" si="40"/>
        <v>0.5</v>
      </c>
      <c r="L20" s="48">
        <f t="shared" si="30"/>
        <v>1.575</v>
      </c>
      <c r="M20" s="45">
        <f t="shared" si="31"/>
        <v>0.8</v>
      </c>
      <c r="N20" s="45">
        <f t="shared" si="32"/>
        <v>0.6</v>
      </c>
      <c r="O20" s="50">
        <f t="shared" si="33"/>
        <v>1.7349999999999999</v>
      </c>
      <c r="P20" s="8">
        <f t="shared" si="34"/>
        <v>3.9583333333333331E-2</v>
      </c>
      <c r="T20" s="51">
        <f t="shared" si="41"/>
        <v>0.5</v>
      </c>
      <c r="U20" s="48">
        <f t="shared" si="35"/>
        <v>1.575</v>
      </c>
      <c r="V20" s="45">
        <f t="shared" si="36"/>
        <v>0.8</v>
      </c>
      <c r="W20" s="45">
        <f t="shared" si="37"/>
        <v>0.55000000000000004</v>
      </c>
      <c r="X20" s="50">
        <f t="shared" si="42"/>
        <v>1.615</v>
      </c>
      <c r="Y20" s="8">
        <f t="shared" si="38"/>
        <v>1.6300000000000002E-2</v>
      </c>
      <c r="AB20" s="6">
        <v>4</v>
      </c>
      <c r="AC20" s="6">
        <f t="shared" si="49"/>
        <v>0.4</v>
      </c>
      <c r="AD20" s="6">
        <f t="shared" si="43"/>
        <v>1.548</v>
      </c>
      <c r="AE20" s="21">
        <f t="shared" si="44"/>
        <v>0.24000000000000005</v>
      </c>
      <c r="AF20" s="6">
        <f t="shared" si="45"/>
        <v>0.8</v>
      </c>
      <c r="AG20" s="6">
        <f t="shared" si="46"/>
        <v>1.6960000000000002</v>
      </c>
      <c r="AH20" s="6">
        <f t="shared" si="47"/>
        <v>0.84864000000000017</v>
      </c>
      <c r="AI20" s="6">
        <f t="shared" si="48"/>
        <v>1.5007392000000002</v>
      </c>
      <c r="AJ20">
        <f t="shared" si="50"/>
        <v>-4.7260799999999881E-2</v>
      </c>
      <c r="AK20">
        <f t="shared" si="51"/>
        <v>-3.0530232558139456E-2</v>
      </c>
    </row>
    <row r="21" spans="2:37" ht="15.6" x14ac:dyDescent="0.3">
      <c r="B21" s="2"/>
      <c r="C21" s="44">
        <f>C20+$B$13</f>
        <v>0.7</v>
      </c>
      <c r="D21" s="45">
        <f t="shared" si="26"/>
        <v>2.1734999999999998</v>
      </c>
      <c r="E21" s="45">
        <f t="shared" si="27"/>
        <v>2.5949999999999998</v>
      </c>
      <c r="F21" s="45">
        <f t="shared" si="52"/>
        <v>0.42149999999999999</v>
      </c>
      <c r="G21" s="46">
        <f t="shared" si="53"/>
        <v>0.16242774566473989</v>
      </c>
      <c r="K21" s="51">
        <f t="shared" si="40"/>
        <v>0.6</v>
      </c>
      <c r="L21" s="48">
        <f t="shared" si="30"/>
        <v>1.6080000000000001</v>
      </c>
      <c r="M21" s="45">
        <f t="shared" si="31"/>
        <v>0.87199999999999989</v>
      </c>
      <c r="N21" s="45">
        <f t="shared" si="32"/>
        <v>0.7</v>
      </c>
      <c r="O21" s="50">
        <f t="shared" si="33"/>
        <v>1.7824</v>
      </c>
      <c r="P21" s="8">
        <f t="shared" si="34"/>
        <v>4.1333333333333333E-2</v>
      </c>
      <c r="T21" s="51">
        <f t="shared" si="41"/>
        <v>0.6</v>
      </c>
      <c r="U21" s="48">
        <f t="shared" si="35"/>
        <v>1.6080000000000001</v>
      </c>
      <c r="V21" s="45">
        <f t="shared" si="36"/>
        <v>0.87199999999999989</v>
      </c>
      <c r="W21" s="45">
        <f t="shared" si="37"/>
        <v>0.65</v>
      </c>
      <c r="X21" s="50">
        <f t="shared" si="42"/>
        <v>1.6516000000000002</v>
      </c>
      <c r="Y21" s="8">
        <f t="shared" si="38"/>
        <v>1.5592000000000005E-2</v>
      </c>
      <c r="AB21" s="6">
        <v>5</v>
      </c>
      <c r="AC21" s="6">
        <f t="shared" si="49"/>
        <v>0.5</v>
      </c>
      <c r="AD21" s="6">
        <f t="shared" si="43"/>
        <v>1.575</v>
      </c>
      <c r="AE21" s="21">
        <f t="shared" si="44"/>
        <v>0.375</v>
      </c>
      <c r="AF21" s="6">
        <f t="shared" si="45"/>
        <v>1.1599999999999999</v>
      </c>
      <c r="AG21" s="6">
        <f t="shared" si="46"/>
        <v>2.4159999999999999</v>
      </c>
      <c r="AH21" s="6">
        <f t="shared" si="47"/>
        <v>1.24644</v>
      </c>
      <c r="AI21" s="6">
        <f t="shared" si="48"/>
        <v>1.5734232000000001</v>
      </c>
      <c r="AJ21">
        <f t="shared" si="50"/>
        <v>-1.5767999999998228E-3</v>
      </c>
      <c r="AK21">
        <f t="shared" si="51"/>
        <v>-1.0011428571427446E-3</v>
      </c>
    </row>
    <row r="22" spans="2:37" ht="15.6" x14ac:dyDescent="0.3">
      <c r="C22" s="44">
        <f t="shared" si="29"/>
        <v>0.79999999999999993</v>
      </c>
      <c r="D22" s="45">
        <f t="shared" si="26"/>
        <v>2.1960000000000002</v>
      </c>
      <c r="E22" s="45">
        <f t="shared" si="27"/>
        <v>2.7199999999999998</v>
      </c>
      <c r="F22" s="45">
        <f t="shared" si="52"/>
        <v>0.52399999999999958</v>
      </c>
      <c r="G22" s="46">
        <f t="shared" si="53"/>
        <v>0.19264705882352928</v>
      </c>
      <c r="K22" s="51">
        <f t="shared" si="40"/>
        <v>0.7</v>
      </c>
      <c r="L22" s="48">
        <f t="shared" si="30"/>
        <v>1.647</v>
      </c>
      <c r="M22" s="45">
        <f t="shared" si="31"/>
        <v>0.94799999999999973</v>
      </c>
      <c r="N22" s="45">
        <f t="shared" si="32"/>
        <v>0.79999999999999993</v>
      </c>
      <c r="O22" s="50">
        <f t="shared" si="33"/>
        <v>1.8366</v>
      </c>
      <c r="P22" s="8">
        <f t="shared" si="34"/>
        <v>4.3249999999999997E-2</v>
      </c>
      <c r="T22" s="51">
        <f t="shared" si="41"/>
        <v>0.7</v>
      </c>
      <c r="U22" s="48">
        <f t="shared" si="35"/>
        <v>1.647</v>
      </c>
      <c r="V22" s="45">
        <f t="shared" si="36"/>
        <v>0.94799999999999973</v>
      </c>
      <c r="W22" s="45">
        <f t="shared" si="37"/>
        <v>0.75</v>
      </c>
      <c r="X22" s="50">
        <f t="shared" si="42"/>
        <v>1.6943999999999999</v>
      </c>
      <c r="Y22" s="8">
        <f t="shared" si="38"/>
        <v>1.4928000000000006E-2</v>
      </c>
      <c r="AB22" s="58">
        <v>6</v>
      </c>
      <c r="AC22" s="6">
        <f t="shared" si="49"/>
        <v>0.6</v>
      </c>
      <c r="AD22" s="6">
        <f t="shared" si="43"/>
        <v>1.6080000000000001</v>
      </c>
      <c r="AE22" s="21">
        <f t="shared" si="44"/>
        <v>0.54</v>
      </c>
      <c r="AF22" s="6">
        <f t="shared" si="45"/>
        <v>1.6</v>
      </c>
      <c r="AG22" s="6">
        <f t="shared" si="46"/>
        <v>3.2960000000000003</v>
      </c>
      <c r="AH22" s="6">
        <f t="shared" si="47"/>
        <v>1.7326400000000002</v>
      </c>
      <c r="AI22" s="6">
        <f t="shared" si="48"/>
        <v>1.6622592</v>
      </c>
      <c r="AJ22">
        <f t="shared" si="50"/>
        <v>5.4259199999999952E-2</v>
      </c>
      <c r="AK22">
        <f t="shared" si="51"/>
        <v>3.3743283582089521E-2</v>
      </c>
    </row>
    <row r="23" spans="2:37" ht="15.6" x14ac:dyDescent="0.3">
      <c r="C23" s="44">
        <f t="shared" si="29"/>
        <v>0.89999999999999991</v>
      </c>
      <c r="D23" s="45">
        <f t="shared" si="26"/>
        <v>2.2214999999999998</v>
      </c>
      <c r="E23" s="45">
        <f t="shared" si="27"/>
        <v>2.8549999999999995</v>
      </c>
      <c r="F23" s="45">
        <f t="shared" si="52"/>
        <v>0.63349999999999973</v>
      </c>
      <c r="G23" s="46">
        <f t="shared" si="53"/>
        <v>0.22189141856392289</v>
      </c>
      <c r="K23" s="51">
        <f t="shared" si="40"/>
        <v>0.79999999999999993</v>
      </c>
      <c r="L23" s="48">
        <f t="shared" si="30"/>
        <v>1.6919999999999999</v>
      </c>
      <c r="M23" s="45">
        <f t="shared" si="31"/>
        <v>1.0279999999999998</v>
      </c>
      <c r="N23" s="45">
        <f t="shared" si="32"/>
        <v>0.89999999999999991</v>
      </c>
      <c r="O23" s="50">
        <f t="shared" si="33"/>
        <v>1.8976</v>
      </c>
      <c r="P23" s="8">
        <f t="shared" si="34"/>
        <v>4.533333333333333E-2</v>
      </c>
      <c r="T23" s="51">
        <f t="shared" si="41"/>
        <v>0.79999999999999993</v>
      </c>
      <c r="U23" s="48">
        <f t="shared" si="35"/>
        <v>1.6919999999999999</v>
      </c>
      <c r="V23" s="45">
        <f t="shared" si="36"/>
        <v>1.0279999999999998</v>
      </c>
      <c r="W23" s="45">
        <f t="shared" si="37"/>
        <v>0.85</v>
      </c>
      <c r="X23" s="50">
        <f t="shared" si="42"/>
        <v>1.7433999999999998</v>
      </c>
      <c r="Y23" s="8">
        <f t="shared" si="38"/>
        <v>1.4308000000000001E-2</v>
      </c>
      <c r="AB23" s="58">
        <v>7</v>
      </c>
      <c r="AC23" s="6">
        <f t="shared" si="49"/>
        <v>0.7</v>
      </c>
      <c r="AD23" s="6">
        <f t="shared" si="43"/>
        <v>1.647</v>
      </c>
      <c r="AE23" s="21">
        <f t="shared" si="44"/>
        <v>0.73499999999999988</v>
      </c>
      <c r="AF23" s="6">
        <f t="shared" si="45"/>
        <v>2.1199999999999997</v>
      </c>
      <c r="AG23" s="6">
        <f t="shared" si="46"/>
        <v>4.3359999999999994</v>
      </c>
      <c r="AH23" s="6">
        <f t="shared" si="47"/>
        <v>2.3072399999999997</v>
      </c>
      <c r="AI23" s="6">
        <f t="shared" si="48"/>
        <v>1.7672472000000001</v>
      </c>
      <c r="AJ23">
        <f t="shared" si="50"/>
        <v>0.12024720000000011</v>
      </c>
      <c r="AK23">
        <f t="shared" si="51"/>
        <v>7.3009836065573833E-2</v>
      </c>
    </row>
    <row r="24" spans="2:37" ht="15.6" x14ac:dyDescent="0.3">
      <c r="C24" s="44">
        <f>C23+$B$13</f>
        <v>0.99999999999999989</v>
      </c>
      <c r="D24" s="45">
        <f t="shared" si="26"/>
        <v>2.25</v>
      </c>
      <c r="E24" s="45">
        <f t="shared" si="27"/>
        <v>3</v>
      </c>
      <c r="F24" s="45">
        <f t="shared" si="52"/>
        <v>0.75</v>
      </c>
      <c r="G24" s="46">
        <f t="shared" si="53"/>
        <v>0.25</v>
      </c>
      <c r="K24" s="51">
        <f>K23+$J$14</f>
        <v>0.89999999999999991</v>
      </c>
      <c r="L24" s="48">
        <f t="shared" si="30"/>
        <v>1.7429999999999999</v>
      </c>
      <c r="M24" s="45">
        <f t="shared" si="31"/>
        <v>1.1119999999999997</v>
      </c>
      <c r="N24" s="45">
        <f t="shared" si="32"/>
        <v>0.99999999999999989</v>
      </c>
      <c r="O24" s="50">
        <f t="shared" si="33"/>
        <v>1.9653999999999998</v>
      </c>
      <c r="P24" s="8">
        <f t="shared" si="34"/>
        <v>4.7583333333333325E-2</v>
      </c>
      <c r="T24" s="51">
        <f>T23+$J$14</f>
        <v>0.89999999999999991</v>
      </c>
      <c r="U24" s="48">
        <f t="shared" si="35"/>
        <v>1.7429999999999999</v>
      </c>
      <c r="V24" s="45">
        <f t="shared" si="36"/>
        <v>1.1119999999999997</v>
      </c>
      <c r="W24" s="45">
        <f t="shared" si="37"/>
        <v>0.95</v>
      </c>
      <c r="X24" s="50">
        <f t="shared" si="42"/>
        <v>1.7986</v>
      </c>
      <c r="Y24" s="8">
        <f t="shared" si="38"/>
        <v>1.3732000000000008E-2</v>
      </c>
      <c r="AB24" s="58">
        <v>8</v>
      </c>
      <c r="AC24" s="6">
        <f t="shared" si="49"/>
        <v>0.79999999999999993</v>
      </c>
      <c r="AD24" s="6">
        <f t="shared" si="43"/>
        <v>1.6919999999999999</v>
      </c>
      <c r="AE24" s="21">
        <f t="shared" si="44"/>
        <v>0.95999999999999985</v>
      </c>
      <c r="AF24" s="6">
        <f t="shared" si="45"/>
        <v>2.7199999999999998</v>
      </c>
      <c r="AG24" s="6">
        <f t="shared" si="46"/>
        <v>5.5359999999999996</v>
      </c>
      <c r="AH24" s="6">
        <f t="shared" si="47"/>
        <v>2.9702399999999995</v>
      </c>
      <c r="AI24" s="6">
        <f t="shared" si="48"/>
        <v>1.8883871999999997</v>
      </c>
      <c r="AJ24">
        <f t="shared" si="50"/>
        <v>0.19638719999999976</v>
      </c>
      <c r="AK24">
        <f t="shared" si="51"/>
        <v>0.11606808510638285</v>
      </c>
    </row>
    <row r="25" spans="2:37" ht="16.2" thickBot="1" x14ac:dyDescent="0.35">
      <c r="K25" s="51">
        <f t="shared" si="40"/>
        <v>0.99999999999999989</v>
      </c>
      <c r="L25" s="48">
        <f t="shared" si="30"/>
        <v>1.8</v>
      </c>
      <c r="M25" s="45"/>
      <c r="N25" s="45">
        <f t="shared" si="32"/>
        <v>1.0999999999999999</v>
      </c>
      <c r="O25" s="50">
        <f t="shared" si="33"/>
        <v>1.8</v>
      </c>
      <c r="P25" s="8"/>
      <c r="T25" s="51">
        <f t="shared" ref="T25" si="54">T24+$J$14</f>
        <v>0.99999999999999989</v>
      </c>
      <c r="U25" s="48">
        <f t="shared" si="35"/>
        <v>1.8</v>
      </c>
      <c r="V25" s="45"/>
      <c r="W25" s="45">
        <f t="shared" si="37"/>
        <v>1.0499999999999998</v>
      </c>
      <c r="X25" s="50">
        <f t="shared" si="42"/>
        <v>1.8</v>
      </c>
      <c r="Y25" s="8"/>
      <c r="AB25" s="58">
        <v>9</v>
      </c>
      <c r="AC25" s="6">
        <f t="shared" si="49"/>
        <v>0.89999999999999991</v>
      </c>
      <c r="AD25" s="6">
        <f t="shared" si="43"/>
        <v>1.7429999999999999</v>
      </c>
      <c r="AE25" s="21">
        <f t="shared" si="44"/>
        <v>1.2149999999999999</v>
      </c>
      <c r="AF25" s="6">
        <f t="shared" si="45"/>
        <v>3.3999999999999995</v>
      </c>
      <c r="AG25" s="6">
        <f t="shared" si="46"/>
        <v>6.8959999999999999</v>
      </c>
      <c r="AH25" s="6">
        <f t="shared" si="47"/>
        <v>3.7216399999999994</v>
      </c>
      <c r="AI25" s="6">
        <f t="shared" si="48"/>
        <v>2.0256791999999999</v>
      </c>
      <c r="AJ25">
        <f t="shared" si="50"/>
        <v>0.28267920000000002</v>
      </c>
      <c r="AK25">
        <f t="shared" si="51"/>
        <v>0.16217969018932876</v>
      </c>
    </row>
    <row r="26" spans="2:37" ht="18.600000000000001" thickBot="1" x14ac:dyDescent="0.35">
      <c r="F26" s="40" t="s">
        <v>26</v>
      </c>
      <c r="G26" s="43">
        <f>SUM(F14:F24)/12</f>
        <v>0.24979166666666655</v>
      </c>
      <c r="AB26" s="58">
        <v>10</v>
      </c>
      <c r="AC26" s="6">
        <f t="shared" si="49"/>
        <v>0.99999999999999989</v>
      </c>
      <c r="AD26" s="6">
        <f t="shared" si="43"/>
        <v>1.8</v>
      </c>
      <c r="AI26" s="6">
        <f t="shared" si="48"/>
        <v>1.62</v>
      </c>
      <c r="AJ26">
        <f t="shared" si="50"/>
        <v>-0.17999999999999994</v>
      </c>
      <c r="AK26">
        <f t="shared" si="51"/>
        <v>-9.9999999999999964E-2</v>
      </c>
    </row>
    <row r="27" spans="2:37" ht="18.600000000000001" thickBot="1" x14ac:dyDescent="0.35">
      <c r="F27" s="41" t="s">
        <v>28</v>
      </c>
      <c r="G27" s="42">
        <f>SUM(G14:G24)/12</f>
        <v>9.1495397124360153E-2</v>
      </c>
      <c r="N27" s="40" t="s">
        <v>26</v>
      </c>
      <c r="O27" s="43">
        <f>SUM(P15:P24)/10</f>
        <v>3.9458333333333331E-2</v>
      </c>
      <c r="W27" s="40" t="s">
        <v>26</v>
      </c>
      <c r="X27" s="43">
        <f>SUM(Y15:Y24)/10</f>
        <v>1.6851999999999999E-2</v>
      </c>
    </row>
    <row r="28" spans="2:37" ht="18.600000000000001" thickBot="1" x14ac:dyDescent="0.35">
      <c r="N28" s="41" t="s">
        <v>28</v>
      </c>
      <c r="O28" s="42">
        <f>O27/(2/3)</f>
        <v>5.9187499999999997E-2</v>
      </c>
      <c r="W28" s="41" t="s">
        <v>28</v>
      </c>
      <c r="X28" s="42">
        <f>X27/(2/3)</f>
        <v>2.5277999999999998E-2</v>
      </c>
      <c r="AH28" s="5" t="s">
        <v>4</v>
      </c>
      <c r="AI28" s="5">
        <f>SUM(AJ16:AJ26)/11</f>
        <v>1.0033527272727317E-2</v>
      </c>
    </row>
    <row r="29" spans="2:37" ht="15.6" x14ac:dyDescent="0.3">
      <c r="AH29" s="5" t="s">
        <v>5</v>
      </c>
      <c r="AI29" s="57">
        <f>SUM(AK16:AK26)/11</f>
        <v>4.1458559031950773E-3</v>
      </c>
    </row>
    <row r="30" spans="2:37" x14ac:dyDescent="0.3">
      <c r="AI30" s="5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FIMAS</dc:creator>
  <cp:lastModifiedBy>500a5 </cp:lastModifiedBy>
  <dcterms:created xsi:type="dcterms:W3CDTF">2019-09-22T06:18:40Z</dcterms:created>
  <dcterms:modified xsi:type="dcterms:W3CDTF">2019-10-12T15:46:51Z</dcterms:modified>
</cp:coreProperties>
</file>