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lex.messina\Documents\GitHub\Sutron_scripts\LakeHodges\Storm Pacings and Settings\Storm 3_2021\"/>
    </mc:Choice>
  </mc:AlternateContent>
  <xr:revisionPtr revIDLastSave="0" documentId="13_ncr:1_{3182BEFD-E812-434A-818D-E7EEDCA6E91A}" xr6:coauthVersionLast="46" xr6:coauthVersionMax="46" xr10:uidLastSave="{00000000-0000-0000-0000-000000000000}"/>
  <bookViews>
    <workbookView xWindow="-108" yWindow="-108" windowWidth="23256" windowHeight="12576" activeTab="1" xr2:uid="{00000000-000D-0000-FFFF-FFFF00000000}"/>
  </bookViews>
  <sheets>
    <sheet name="Creeks" sheetId="1" r:id="rId1"/>
    <sheet name="Outfalls" sheetId="3" r:id="rId2"/>
    <sheet name="ESRI_MAPINFO_SHEET" sheetId="2" state="very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 l="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3" i="1"/>
  <c r="F10" i="1" l="1"/>
  <c r="F11" i="1"/>
  <c r="F12" i="1"/>
  <c r="F13" i="1"/>
  <c r="F14" i="1"/>
  <c r="F9" i="1"/>
  <c r="I16" i="3"/>
  <c r="G16" i="3"/>
  <c r="F4" i="1" l="1"/>
  <c r="F5" i="1"/>
  <c r="F6" i="1"/>
  <c r="F7" i="1"/>
  <c r="F8" i="1"/>
  <c r="E20" i="3" l="1"/>
  <c r="I20" i="3" s="1"/>
  <c r="J20" i="3" s="1"/>
  <c r="C20" i="3"/>
  <c r="D20" i="3" s="1"/>
  <c r="E19" i="3"/>
  <c r="I19" i="3" s="1"/>
  <c r="J19" i="3" s="1"/>
  <c r="C19" i="3"/>
  <c r="G19" i="3" s="1"/>
  <c r="H19" i="3" s="1"/>
  <c r="E18" i="3"/>
  <c r="F18" i="3" s="1"/>
  <c r="C18" i="3"/>
  <c r="D18" i="3" s="1"/>
  <c r="E17" i="3"/>
  <c r="F17" i="3" s="1"/>
  <c r="C17" i="3"/>
  <c r="G17" i="3" s="1"/>
  <c r="H17" i="3" s="1"/>
  <c r="E16" i="3"/>
  <c r="J16" i="3" s="1"/>
  <c r="C16" i="3"/>
  <c r="H16" i="3" s="1"/>
  <c r="E15" i="3"/>
  <c r="F15" i="3" s="1"/>
  <c r="C15" i="3"/>
  <c r="D15" i="3" s="1"/>
  <c r="E14" i="3"/>
  <c r="I14" i="3" s="1"/>
  <c r="J14" i="3" s="1"/>
  <c r="C14" i="3"/>
  <c r="D14" i="3" s="1"/>
  <c r="E13" i="3"/>
  <c r="I13" i="3" s="1"/>
  <c r="J13" i="3" s="1"/>
  <c r="C13" i="3"/>
  <c r="G13" i="3" s="1"/>
  <c r="H13" i="3" s="1"/>
  <c r="E12" i="3"/>
  <c r="F12" i="3" s="1"/>
  <c r="C12" i="3"/>
  <c r="D12" i="3" s="1"/>
  <c r="E11" i="3"/>
  <c r="I11" i="3" s="1"/>
  <c r="J11" i="3" s="1"/>
  <c r="C11" i="3"/>
  <c r="D11" i="3" s="1"/>
  <c r="E10" i="3"/>
  <c r="I10" i="3" s="1"/>
  <c r="J10" i="3" s="1"/>
  <c r="C10" i="3"/>
  <c r="G10" i="3" s="1"/>
  <c r="H10" i="3" s="1"/>
  <c r="E9" i="3"/>
  <c r="F9" i="3" s="1"/>
  <c r="C9" i="3"/>
  <c r="D9" i="3" s="1"/>
  <c r="E38" i="3"/>
  <c r="F38" i="3" s="1"/>
  <c r="C38" i="3"/>
  <c r="D38" i="3" s="1"/>
  <c r="E37" i="3"/>
  <c r="I37" i="3" s="1"/>
  <c r="J37" i="3" s="1"/>
  <c r="C37" i="3"/>
  <c r="D37" i="3" s="1"/>
  <c r="E36" i="3"/>
  <c r="F36" i="3" s="1"/>
  <c r="C36" i="3"/>
  <c r="D36" i="3" s="1"/>
  <c r="E35" i="3"/>
  <c r="I35" i="3" s="1"/>
  <c r="J35" i="3" s="1"/>
  <c r="C35" i="3"/>
  <c r="G35" i="3" s="1"/>
  <c r="H35" i="3" s="1"/>
  <c r="E34" i="3"/>
  <c r="I34" i="3" s="1"/>
  <c r="J34" i="3" s="1"/>
  <c r="C34" i="3"/>
  <c r="D34" i="3" s="1"/>
  <c r="E33" i="3"/>
  <c r="F33" i="3" s="1"/>
  <c r="C33" i="3"/>
  <c r="D33" i="3" s="1"/>
  <c r="E26" i="3"/>
  <c r="I26" i="3" s="1"/>
  <c r="J26" i="3" s="1"/>
  <c r="C26" i="3"/>
  <c r="D26" i="3" s="1"/>
  <c r="E25" i="3"/>
  <c r="F25" i="3" s="1"/>
  <c r="C25" i="3"/>
  <c r="D25" i="3" s="1"/>
  <c r="E24" i="3"/>
  <c r="F24" i="3" s="1"/>
  <c r="C24" i="3"/>
  <c r="D24" i="3" s="1"/>
  <c r="E23" i="3"/>
  <c r="F23" i="3" s="1"/>
  <c r="C23" i="3"/>
  <c r="D23" i="3" s="1"/>
  <c r="E22" i="3"/>
  <c r="I22" i="3" s="1"/>
  <c r="J22" i="3" s="1"/>
  <c r="C22" i="3"/>
  <c r="D22" i="3" s="1"/>
  <c r="E21" i="3"/>
  <c r="F21" i="3" s="1"/>
  <c r="C21" i="3"/>
  <c r="D21" i="3" s="1"/>
  <c r="E32" i="3"/>
  <c r="F32" i="3" s="1"/>
  <c r="C32" i="3"/>
  <c r="D32" i="3" s="1"/>
  <c r="E31" i="3"/>
  <c r="F31" i="3" s="1"/>
  <c r="C31" i="3"/>
  <c r="D31" i="3" s="1"/>
  <c r="E30" i="3"/>
  <c r="F30" i="3" s="1"/>
  <c r="C30" i="3"/>
  <c r="D30" i="3" s="1"/>
  <c r="E29" i="3"/>
  <c r="F29" i="3" s="1"/>
  <c r="C29" i="3"/>
  <c r="D29" i="3" s="1"/>
  <c r="E28" i="3"/>
  <c r="F28" i="3" s="1"/>
  <c r="C28" i="3"/>
  <c r="D28" i="3" s="1"/>
  <c r="E27" i="3"/>
  <c r="F27" i="3" s="1"/>
  <c r="C27" i="3"/>
  <c r="D27" i="3" s="1"/>
  <c r="C3" i="3"/>
  <c r="I36" i="3" l="1"/>
  <c r="J36" i="3" s="1"/>
  <c r="F11" i="3"/>
  <c r="G38" i="3"/>
  <c r="H38" i="3" s="1"/>
  <c r="I15" i="3"/>
  <c r="J15" i="3" s="1"/>
  <c r="G36" i="3"/>
  <c r="H36" i="3" s="1"/>
  <c r="D17" i="3"/>
  <c r="I27" i="3"/>
  <c r="J27" i="3" s="1"/>
  <c r="G12" i="3"/>
  <c r="H12" i="3" s="1"/>
  <c r="G29" i="3"/>
  <c r="H29" i="3" s="1"/>
  <c r="D13" i="3"/>
  <c r="I17" i="3"/>
  <c r="J17" i="3" s="1"/>
  <c r="G24" i="3"/>
  <c r="H24" i="3" s="1"/>
  <c r="I30" i="3"/>
  <c r="J30" i="3" s="1"/>
  <c r="G32" i="3"/>
  <c r="H32" i="3" s="1"/>
  <c r="I38" i="3"/>
  <c r="J38" i="3" s="1"/>
  <c r="G11" i="3"/>
  <c r="H11" i="3" s="1"/>
  <c r="G20" i="3"/>
  <c r="H20" i="3" s="1"/>
  <c r="I29" i="3"/>
  <c r="J29" i="3" s="1"/>
  <c r="G23" i="3"/>
  <c r="H23" i="3" s="1"/>
  <c r="F26" i="3"/>
  <c r="D35" i="3"/>
  <c r="I23" i="3"/>
  <c r="J23" i="3" s="1"/>
  <c r="G26" i="3"/>
  <c r="H26" i="3" s="1"/>
  <c r="I9" i="3"/>
  <c r="J9" i="3" s="1"/>
  <c r="F14" i="3"/>
  <c r="I18" i="3"/>
  <c r="J18" i="3" s="1"/>
  <c r="G27" i="3"/>
  <c r="H27" i="3" s="1"/>
  <c r="G30" i="3"/>
  <c r="H30" i="3" s="1"/>
  <c r="G21" i="3"/>
  <c r="H21" i="3" s="1"/>
  <c r="F35" i="3"/>
  <c r="G14" i="3"/>
  <c r="H14" i="3" s="1"/>
  <c r="I32" i="3"/>
  <c r="J32" i="3" s="1"/>
  <c r="G9" i="3"/>
  <c r="H9" i="3" s="1"/>
  <c r="G18" i="3"/>
  <c r="H18" i="3" s="1"/>
  <c r="I21" i="3"/>
  <c r="J21" i="3" s="1"/>
  <c r="D10" i="3"/>
  <c r="D19" i="3"/>
  <c r="I24" i="3"/>
  <c r="J24" i="3" s="1"/>
  <c r="G33" i="3"/>
  <c r="H33" i="3" s="1"/>
  <c r="I12" i="3"/>
  <c r="J12" i="3" s="1"/>
  <c r="I33" i="3"/>
  <c r="J33" i="3" s="1"/>
  <c r="G15" i="3"/>
  <c r="H15" i="3" s="1"/>
  <c r="F20" i="3"/>
  <c r="D16" i="3"/>
  <c r="F34" i="3"/>
  <c r="F10" i="3"/>
  <c r="F13" i="3"/>
  <c r="G28" i="3"/>
  <c r="H28" i="3" s="1"/>
  <c r="G31" i="3"/>
  <c r="H31" i="3" s="1"/>
  <c r="G22" i="3"/>
  <c r="H22" i="3" s="1"/>
  <c r="G25" i="3"/>
  <c r="H25" i="3" s="1"/>
  <c r="G34" i="3"/>
  <c r="H34" i="3" s="1"/>
  <c r="G37" i="3"/>
  <c r="H37" i="3" s="1"/>
  <c r="F16" i="3"/>
  <c r="F22" i="3"/>
  <c r="F37" i="3"/>
  <c r="F19" i="3"/>
  <c r="I28" i="3"/>
  <c r="J28" i="3" s="1"/>
  <c r="I31" i="3"/>
  <c r="J31" i="3" s="1"/>
  <c r="I25" i="3"/>
  <c r="J25" i="3" s="1"/>
  <c r="G52" i="1"/>
  <c r="G53" i="1"/>
  <c r="G54" i="1"/>
  <c r="G55" i="1"/>
  <c r="G56" i="1"/>
  <c r="G51"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3" i="1"/>
</calcChain>
</file>

<file path=xl/sharedStrings.xml><?xml version="1.0" encoding="utf-8"?>
<sst xmlns="http://schemas.openxmlformats.org/spreadsheetml/2006/main" count="217" uniqueCount="143">
  <si>
    <t>Creek Site</t>
  </si>
  <si>
    <t>1"</t>
  </si>
  <si>
    <t>3"</t>
  </si>
  <si>
    <t>Pacing (cf)</t>
  </si>
  <si>
    <t>Del Dios</t>
  </si>
  <si>
    <t>Felicita</t>
  </si>
  <si>
    <t>San Dieguito</t>
  </si>
  <si>
    <t>2"</t>
  </si>
  <si>
    <t>Kit Carson</t>
  </si>
  <si>
    <t>Moonsong</t>
  </si>
  <si>
    <t>Green Valley</t>
  </si>
  <si>
    <t>Cloverdale</t>
  </si>
  <si>
    <t>Guejito</t>
  </si>
  <si>
    <t>Sycamore</t>
  </si>
  <si>
    <t>60% of Pacing (cf)</t>
  </si>
  <si>
    <t>0.5"</t>
  </si>
  <si>
    <t>Predicted Peak Flow (cfs)</t>
  </si>
  <si>
    <t>Predicted Stage height (in)</t>
  </si>
  <si>
    <t>60% Pacing, rounded (cfs)</t>
  </si>
  <si>
    <t>1.5"</t>
  </si>
  <si>
    <t>2.5"</t>
  </si>
  <si>
    <t>Predicted Rainfall total (in)</t>
  </si>
  <si>
    <t>Note: pacings estimates based on sampling frequency of 10 minute intervals during peak flow</t>
  </si>
  <si>
    <t>***</t>
  </si>
  <si>
    <t>WW1 pacing (1.05" rainfall</t>
  </si>
  <si>
    <t>WW2 pacing (0.89" rainfall)</t>
  </si>
  <si>
    <t>WW3.2 Pacing (3.53" rainfall)</t>
  </si>
  <si>
    <t>WW3 Pacing (1.80" rainfall)</t>
  </si>
  <si>
    <t>5,000 &gt;&gt; 625</t>
  </si>
  <si>
    <t>1,000 &gt;&gt; 2,000</t>
  </si>
  <si>
    <t>10,000 &gt;&gt; 30,000</t>
  </si>
  <si>
    <t>80,000 &gt;&gt; 320,000</t>
  </si>
  <si>
    <t>22,000 &gt;&gt; 88000</t>
  </si>
  <si>
    <t>22,000 &gt;&gt; 66,000</t>
  </si>
  <si>
    <t>60,000 &gt;&gt; 120,000</t>
  </si>
  <si>
    <t>150,000 &gt;&gt; 600,000 (or more?)</t>
  </si>
  <si>
    <t>1,000 &gt;&gt; 5,000</t>
  </si>
  <si>
    <t>600,000 &gt;&gt; 2.4M (or more?)</t>
  </si>
  <si>
    <t>50,000 &gt;&gt; 100,000</t>
  </si>
  <si>
    <t>240,000 &gt;&gt; 720,000</t>
  </si>
  <si>
    <t>45000 &gt;&gt; 90,000</t>
  </si>
  <si>
    <t>90,000 &gt;&gt; 360,000 (or more?)</t>
  </si>
  <si>
    <t>12,000 &gt;&gt; 48,000</t>
  </si>
  <si>
    <t>25,000 &gt;&gt; 75,000</t>
  </si>
  <si>
    <t>100,000 &gt;&gt; 200,000</t>
  </si>
  <si>
    <t>1M &gt;&gt; time</t>
  </si>
  <si>
    <t>2,000 &gt;&gt; 50,000</t>
  </si>
  <si>
    <t>100,000 &gt;&gt; 300,000</t>
  </si>
  <si>
    <t>1,000 &gt;&gt; 4,000</t>
  </si>
  <si>
    <t>8000 &gt;&gt; 16,000</t>
  </si>
  <si>
    <t>48,000 &gt;&gt; 768,000 (or more?)</t>
  </si>
  <si>
    <t>Bottle volume (L)</t>
  </si>
  <si>
    <t>=pacing estimate</t>
  </si>
  <si>
    <t>Aliquot volume (mL)</t>
  </si>
  <si>
    <t>=modify</t>
  </si>
  <si>
    <t>Maximum number of aliquots</t>
  </si>
  <si>
    <t>=JN WW3 pacing estimate</t>
  </si>
  <si>
    <t>Target number of aliquots</t>
  </si>
  <si>
    <t>Site</t>
  </si>
  <si>
    <t>Predicted Rainfall</t>
  </si>
  <si>
    <r>
      <t>Predicted Total Storm Flow</t>
    </r>
    <r>
      <rPr>
        <vertAlign val="superscript"/>
        <sz val="11"/>
        <color theme="1"/>
        <rFont val="Calibri"/>
        <family val="2"/>
        <scheme val="minor"/>
      </rPr>
      <t>1</t>
    </r>
  </si>
  <si>
    <r>
      <t>Predicted Peak Flow</t>
    </r>
    <r>
      <rPr>
        <vertAlign val="superscript"/>
        <sz val="11"/>
        <color theme="1"/>
        <rFont val="Calibri"/>
        <family val="2"/>
        <scheme val="minor"/>
      </rPr>
      <t>1</t>
    </r>
  </si>
  <si>
    <r>
      <t>Total Stormflow based pacing</t>
    </r>
    <r>
      <rPr>
        <vertAlign val="superscript"/>
        <sz val="11"/>
        <color theme="1"/>
        <rFont val="Calibri"/>
        <family val="2"/>
        <scheme val="minor"/>
      </rPr>
      <t>2</t>
    </r>
  </si>
  <si>
    <r>
      <t>Peak Stormflow based pacing</t>
    </r>
    <r>
      <rPr>
        <vertAlign val="superscript"/>
        <sz val="11"/>
        <color theme="1"/>
        <rFont val="Calibri"/>
        <family val="2"/>
        <scheme val="minor"/>
      </rPr>
      <t>3</t>
    </r>
  </si>
  <si>
    <t>in</t>
  </si>
  <si>
    <t>cf</t>
  </si>
  <si>
    <t>gal</t>
  </si>
  <si>
    <t>cfs</t>
  </si>
  <si>
    <t>gpm</t>
  </si>
  <si>
    <t>DW0011-Bernardo Plaza</t>
  </si>
  <si>
    <t>DW0317-Tazon</t>
  </si>
  <si>
    <t>DW914-Lomica</t>
  </si>
  <si>
    <t>HDG101-El Ku</t>
  </si>
  <si>
    <t>HDG102-Via Rancho</t>
  </si>
  <si>
    <t>1. Based on linear rainfall/runoff relationship (see FLOW worksheets \\SDG1-FS1\SDShare\Projects-South\Environmental - Schaedler\5025-19-1029 City of SD TO 29 Hodges Nutrient Source Investigation\Data &amp; Field Records\Flow data\MS4 Flow Processed)</t>
  </si>
  <si>
    <t>2. Based on predicted stormflow total divided by target number of aliquots</t>
  </si>
  <si>
    <t>3.  Based on a minimum 5 minute time interval between aliquots during predicted peak flow</t>
  </si>
  <si>
    <t>WW1 Pacing (1.05" rainfall)</t>
  </si>
  <si>
    <t>WW2 Pacing (0.89" rainfall)</t>
  </si>
  <si>
    <t>2,500 &gt;&gt; 10,000</t>
  </si>
  <si>
    <t>WW3.1 Pacing (1.8" rainfall)</t>
  </si>
  <si>
    <t>10,000 (issues during WW, this was revised down)</t>
  </si>
  <si>
    <t>6000 (not sure if this one had issues, maybe changed)</t>
  </si>
  <si>
    <t>12,000 &gt;&gt; 36,000</t>
  </si>
  <si>
    <t>NOTES</t>
  </si>
  <si>
    <t>These are based on 950 data, not sure how representative they are of PT flows</t>
  </si>
  <si>
    <t>1,000 (shooting low if there's flow)</t>
  </si>
  <si>
    <t>1,000 (shooting way low if there's flow)</t>
  </si>
  <si>
    <t>70,000(changed before it sampled, we got nervous)&gt;&gt;25,000 (too low, every 4min at 98cfs)&gt;&gt;75,000 (this was ok, every 15min at 98 cfs; could have been lower like 50-60,000cf)</t>
  </si>
  <si>
    <t>8000 (didn't change but this was too high. Only got 15 aliquots and 12+min apart at peak flow 12cfs. It peaked quickly so didn't get many aliquots at peak flow. Need to shoot for like 3-5min btw aliquots at peakflow)</t>
  </si>
  <si>
    <t>min between samples at peak flow</t>
  </si>
  <si>
    <t>45,000 (was 60); 45,000 worked pretty well, max sampling rate every 8 min at 95cfs; could have been a little lower to get more samples but not bad</t>
  </si>
  <si>
    <t>45000; pretty good, was down to 7 min between samples at peak flow</t>
  </si>
  <si>
    <t>3,000 (rating curve is revised way down)&gt;&gt; 1,000 (this was kind of low, ended up filling the bottle. It just flows forever)</t>
  </si>
  <si>
    <t>4,000 (shooting low, might not be flow)&gt;&gt;500 in beginning of storm&gt;&gt;2,500 (this ended up being pretty good)</t>
  </si>
  <si>
    <t>getting some high spikes and overall higher levels from PT, otherwise it follows the 950 flow pretty well. This pacing was perfect, 5min between samples</t>
  </si>
  <si>
    <t>PT is reading higher levels, could give much higher flow readings, might want to go on the higher end. 10,000 was perfect, 4min between samples at peak and around 50 aliquots over the storm</t>
  </si>
  <si>
    <t>PT is reading higher levels, could give much higher flow readings, might want to go on the higher end; This ended up being wayyyyy too high. 21min between aliquots at peak flow and peaks didn't last long. Should have been like 4-5,000 cf pacing</t>
  </si>
  <si>
    <t>PT recorded pretty high levels (17inches 13,000 gpm, in past few storms, pushing this one way up). This worked out pretty well, 8min between samples at peak but I think the flow data was underreported. Had a few resets and missed some samples. Pacing was theoretically good</t>
  </si>
  <si>
    <t>PT and 950 are fairly close, PT a bit higher. Some really high spikes in level data could cause very high flows. Got bad data from PT (negative) so switched to 950 for pacing. Based on peak flow rate x 5min this was perfect, just peaks are short-lived so need to lower pacing to actually get plenty of aliquots</t>
  </si>
  <si>
    <t>WW1 Pacing (2" forecast) Ended up only getting 1.11"-1.46" and it was mostly steady rain in the first 3 hours and very few brief intense blasts later in the event</t>
  </si>
  <si>
    <t>1,000 (may not flow)</t>
  </si>
  <si>
    <t>Notes</t>
  </si>
  <si>
    <t>WW2 (0.5-0.8" forecast)</t>
  </si>
  <si>
    <t>20,000 (let's start low)</t>
  </si>
  <si>
    <t>1,000 &gt;&gt;500&gt;&gt; 250 &gt;&gt; 500
forecast was way off in the beginning, ended up getting the rain in the end. This pacing was good , 40 ali on 240 then 44 on 500</t>
  </si>
  <si>
    <t>2,500 &gt;&gt; 1,000 &gt;&gt;2,000
started low, lowered it bc looked like rain missed, then had to go back up</t>
  </si>
  <si>
    <t>1,000 (may not flow)
Didn't flow</t>
  </si>
  <si>
    <t>1,500
let's start low, rises slow and flows forever)
Didn't flow</t>
  </si>
  <si>
    <t>1000
Didn't flow</t>
  </si>
  <si>
    <t>WW2 Pacing (0.5-0.7" forecast)
ended up being 0.29-0.35"</t>
  </si>
  <si>
    <t>1,000
(shooting low just in case)
Didn't flow</t>
  </si>
  <si>
    <t>Rain didn't fill in til way later. Had to lower pacing</t>
  </si>
  <si>
    <t>2,500 &gt;&gt; 1,500 before started sampling</t>
  </si>
  <si>
    <t>Pacing was ok, got 27 aliquots
7 min apart. Could have been lower but storm was pretty weak.</t>
  </si>
  <si>
    <t>WW1 Pacing (2" forecast)
Ended up only getting 1.11"-1.46" and it was mostly steady rain in the first 3 hours and very few brief intense blasts later in the event</t>
  </si>
  <si>
    <t>5,000 &gt;&gt; 2,500 at start</t>
  </si>
  <si>
    <t>Pacing was good. Very close to sampling every 1-2 min but peaks were short-lived so ok. 27 aliquots. Used 950 for pacing</t>
  </si>
  <si>
    <t>ended up only getting like 0.29-0.35"
dropped pacings at start</t>
  </si>
  <si>
    <t>Pacing was good. Peak at sample every 2 min but peaks were short-lived so ok. 21 aliquots. Used PT for pacing</t>
  </si>
  <si>
    <t>2,000 &gt;&gt; 1,000 at start</t>
  </si>
  <si>
    <t>Stuck with initial pacing. It was low (2min samples at peak) but ended up ok. 39 aliquots</t>
  </si>
  <si>
    <t>2000 &gt;&gt; 20000</t>
  </si>
  <si>
    <t>WW3 (1-1.5" forecast)
EC: 1.5"   GFS: 0.9"</t>
  </si>
  <si>
    <t>WW1 15k was too high, 2,500 prob too low for this size event</t>
  </si>
  <si>
    <t>going with what we used for WW1. Could maybe go lower but it was perfect for W1 so going with it</t>
  </si>
  <si>
    <t>Might be too low but peaks are so short</t>
  </si>
  <si>
    <t>going with what we had for W1</t>
  </si>
  <si>
    <t>Starting slightly lower than for W1</t>
  </si>
  <si>
    <t>45,000 (same as W1, might be on low side)</t>
  </si>
  <si>
    <t xml:space="preserve">15,000 
dropped to 5,000 at start
&gt;&gt; 2,500 &gt;&gt; 5,000
</t>
  </si>
  <si>
    <t xml:space="preserve">15,000 &gt;&gt; 8,000 &gt;&gt; 4,000 </t>
  </si>
  <si>
    <t>20,000 &gt;&gt; 10,000</t>
  </si>
  <si>
    <t>3000&gt;&gt;1,500(25ali)&gt;&gt;3000</t>
  </si>
  <si>
    <t>10000
&gt;&gt;5,000&gt;&gt;10,000</t>
  </si>
  <si>
    <t>1,500 &gt;&gt; 3,000</t>
  </si>
  <si>
    <t>25,000 (will prob double at some point)
&gt;&gt; 12,000 (3 ali) &gt;&gt; 6,000&gt;&gt;12,000</t>
  </si>
  <si>
    <t>60,000 flows for a long time so keeping at W1 pacing
&gt;&gt;30,000 (1ali)&gt;&gt;15,000&gt;&gt;30,000</t>
  </si>
  <si>
    <t>35,000 (slightly under W1 pacing)
&gt;&gt; 18,000 at start&gt;&gt;36,000</t>
  </si>
  <si>
    <t xml:space="preserve">2,000&gt;&gt;4,000&gt;&gt;8,000
</t>
  </si>
  <si>
    <t>2,500&gt;&gt;500&gt;&gt;20&gt;&gt;80&gt;&gt;320</t>
  </si>
  <si>
    <t>WW3 (1-1.5" forecast)
EC: 1.5"   GFS: 0.9"
actual: 0.89" at Hodges, 1.2" at RB and Escon. gauges</t>
  </si>
  <si>
    <t>5000&gt;&gt;10,000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</si>
</sst>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vertAlign val="superscript"/>
      <sz val="11"/>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rgb="FFFFFF0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style="medium">
        <color indexed="64"/>
      </top>
      <bottom/>
      <diagonal/>
    </border>
  </borders>
  <cellStyleXfs count="1">
    <xf numFmtId="0" fontId="0" fillId="0" borderId="0"/>
  </cellStyleXfs>
  <cellXfs count="241">
    <xf numFmtId="0" fontId="0" fillId="0" borderId="0" xfId="0"/>
    <xf numFmtId="0" fontId="0" fillId="0" borderId="1" xfId="0" applyBorder="1"/>
    <xf numFmtId="3" fontId="0" fillId="0" borderId="1" xfId="0" applyNumberFormat="1" applyFill="1" applyBorder="1"/>
    <xf numFmtId="3" fontId="0" fillId="0" borderId="6" xfId="0" applyNumberFormat="1" applyFill="1" applyBorder="1"/>
    <xf numFmtId="0" fontId="0" fillId="0" borderId="11" xfId="0" applyBorder="1"/>
    <xf numFmtId="3" fontId="0" fillId="0" borderId="11" xfId="0" applyNumberFormat="1" applyFill="1" applyBorder="1"/>
    <xf numFmtId="0" fontId="0" fillId="0" borderId="11" xfId="0" applyFill="1" applyBorder="1"/>
    <xf numFmtId="2" fontId="0" fillId="0" borderId="6" xfId="0" applyNumberFormat="1" applyFill="1" applyBorder="1"/>
    <xf numFmtId="0" fontId="0" fillId="0" borderId="0" xfId="0" applyAlignment="1">
      <alignment wrapText="1"/>
    </xf>
    <xf numFmtId="0" fontId="0" fillId="0" borderId="2" xfId="0" applyBorder="1" applyAlignment="1">
      <alignment wrapText="1"/>
    </xf>
    <xf numFmtId="0" fontId="0" fillId="0" borderId="3" xfId="0" applyBorder="1" applyAlignment="1">
      <alignment wrapText="1"/>
    </xf>
    <xf numFmtId="0" fontId="0" fillId="0" borderId="3" xfId="0" applyFill="1" applyBorder="1" applyAlignment="1">
      <alignment wrapText="1"/>
    </xf>
    <xf numFmtId="0" fontId="0" fillId="2" borderId="3" xfId="0" applyFill="1" applyBorder="1" applyAlignment="1">
      <alignment wrapText="1"/>
    </xf>
    <xf numFmtId="0" fontId="0" fillId="0" borderId="0" xfId="0" applyFill="1"/>
    <xf numFmtId="3" fontId="0" fillId="2" borderId="7" xfId="0" applyNumberFormat="1" applyFill="1" applyBorder="1" applyAlignment="1"/>
    <xf numFmtId="3" fontId="0" fillId="2" borderId="9" xfId="0" applyNumberFormat="1" applyFill="1" applyBorder="1"/>
    <xf numFmtId="0" fontId="0" fillId="0" borderId="10" xfId="0" applyBorder="1"/>
    <xf numFmtId="3" fontId="0" fillId="2" borderId="12" xfId="0" applyNumberFormat="1" applyFill="1" applyBorder="1"/>
    <xf numFmtId="3" fontId="0" fillId="2" borderId="7" xfId="0" applyNumberFormat="1" applyFill="1" applyBorder="1"/>
    <xf numFmtId="2" fontId="0" fillId="0" borderId="1" xfId="0" applyNumberFormat="1" applyFill="1" applyBorder="1"/>
    <xf numFmtId="2" fontId="0" fillId="0" borderId="11" xfId="0" applyNumberFormat="1" applyFill="1" applyBorder="1"/>
    <xf numFmtId="0" fontId="0" fillId="0" borderId="4" xfId="0" applyFill="1" applyBorder="1" applyAlignment="1">
      <alignment wrapText="1"/>
    </xf>
    <xf numFmtId="0" fontId="0" fillId="0" borderId="14" xfId="0" applyBorder="1" applyAlignment="1">
      <alignment horizontal="center" wrapText="1"/>
    </xf>
    <xf numFmtId="0" fontId="0" fillId="3" borderId="8" xfId="0" applyFill="1" applyBorder="1"/>
    <xf numFmtId="2" fontId="0" fillId="3" borderId="1" xfId="0" applyNumberFormat="1" applyFill="1" applyBorder="1"/>
    <xf numFmtId="3" fontId="0" fillId="3" borderId="1" xfId="0" applyNumberFormat="1" applyFill="1" applyBorder="1" applyAlignment="1"/>
    <xf numFmtId="0" fontId="0" fillId="2" borderId="0" xfId="0" applyFill="1"/>
    <xf numFmtId="0" fontId="0" fillId="0" borderId="0" xfId="0" quotePrefix="1"/>
    <xf numFmtId="0" fontId="0" fillId="4" borderId="0" xfId="0" applyFill="1"/>
    <xf numFmtId="0" fontId="0" fillId="0" borderId="34" xfId="0" applyBorder="1"/>
    <xf numFmtId="0" fontId="0" fillId="3" borderId="0" xfId="0" applyFill="1"/>
    <xf numFmtId="0" fontId="0" fillId="0" borderId="35" xfId="0" applyBorder="1"/>
    <xf numFmtId="0" fontId="0" fillId="4" borderId="14" xfId="0" applyFill="1" applyBorder="1"/>
    <xf numFmtId="0" fontId="0" fillId="2" borderId="39" xfId="0" applyFill="1" applyBorder="1"/>
    <xf numFmtId="0" fontId="0" fillId="2" borderId="40" xfId="0" applyFill="1" applyBorder="1"/>
    <xf numFmtId="0" fontId="0" fillId="2" borderId="41" xfId="0" applyFill="1" applyBorder="1"/>
    <xf numFmtId="0" fontId="0" fillId="2" borderId="42" xfId="0" applyFill="1" applyBorder="1"/>
    <xf numFmtId="3" fontId="0" fillId="2" borderId="5" xfId="0" applyNumberFormat="1" applyFill="1" applyBorder="1"/>
    <xf numFmtId="3" fontId="0" fillId="2" borderId="36" xfId="0" applyNumberFormat="1" applyFill="1" applyBorder="1"/>
    <xf numFmtId="3" fontId="0" fillId="2" borderId="8" xfId="0" applyNumberFormat="1" applyFill="1" applyBorder="1"/>
    <xf numFmtId="3" fontId="0" fillId="2" borderId="48" xfId="0" applyNumberFormat="1" applyFill="1" applyBorder="1"/>
    <xf numFmtId="3" fontId="0" fillId="2" borderId="39" xfId="0" applyNumberFormat="1" applyFill="1" applyBorder="1"/>
    <xf numFmtId="3" fontId="0" fillId="2" borderId="40" xfId="0" applyNumberFormat="1" applyFill="1" applyBorder="1"/>
    <xf numFmtId="3" fontId="0" fillId="2" borderId="41" xfId="0" applyNumberFormat="1" applyFill="1" applyBorder="1"/>
    <xf numFmtId="3" fontId="0" fillId="2" borderId="10" xfId="0" applyNumberFormat="1" applyFill="1" applyBorder="1"/>
    <xf numFmtId="3" fontId="0" fillId="2" borderId="49" xfId="0" applyNumberFormat="1" applyFill="1" applyBorder="1"/>
    <xf numFmtId="3" fontId="0" fillId="2" borderId="46" xfId="0" applyNumberFormat="1" applyFill="1" applyBorder="1"/>
    <xf numFmtId="3" fontId="0" fillId="2" borderId="47" xfId="0" applyNumberFormat="1" applyFill="1" applyBorder="1"/>
    <xf numFmtId="3" fontId="0" fillId="2" borderId="52" xfId="0" applyNumberFormat="1" applyFill="1" applyBorder="1"/>
    <xf numFmtId="3" fontId="0" fillId="2" borderId="30" xfId="0" applyNumberFormat="1" applyFill="1" applyBorder="1"/>
    <xf numFmtId="3" fontId="0" fillId="2" borderId="54" xfId="0" applyNumberFormat="1" applyFill="1" applyBorder="1"/>
    <xf numFmtId="3" fontId="0" fillId="2" borderId="55" xfId="0" applyNumberFormat="1" applyFill="1" applyBorder="1"/>
    <xf numFmtId="0" fontId="4" fillId="0" borderId="13" xfId="0" applyFont="1" applyBorder="1"/>
    <xf numFmtId="0" fontId="4" fillId="0" borderId="0" xfId="0" applyFont="1"/>
    <xf numFmtId="0" fontId="0" fillId="0" borderId="43" xfId="0" applyFill="1" applyBorder="1"/>
    <xf numFmtId="3" fontId="0" fillId="3" borderId="8" xfId="0" applyNumberFormat="1" applyFill="1" applyBorder="1"/>
    <xf numFmtId="3" fontId="0" fillId="3" borderId="9" xfId="0" applyNumberFormat="1" applyFill="1" applyBorder="1"/>
    <xf numFmtId="0" fontId="0" fillId="3" borderId="24" xfId="0" applyFill="1" applyBorder="1"/>
    <xf numFmtId="1" fontId="0" fillId="3" borderId="1" xfId="0" applyNumberFormat="1" applyFill="1" applyBorder="1" applyAlignment="1">
      <alignment horizontal="center"/>
    </xf>
    <xf numFmtId="1" fontId="0" fillId="0" borderId="6" xfId="0" applyNumberFormat="1" applyFill="1" applyBorder="1" applyAlignment="1">
      <alignment horizontal="center"/>
    </xf>
    <xf numFmtId="1" fontId="0" fillId="0" borderId="1" xfId="0" applyNumberFormat="1" applyFill="1" applyBorder="1" applyAlignment="1">
      <alignment horizontal="center"/>
    </xf>
    <xf numFmtId="1" fontId="0" fillId="0" borderId="11" xfId="0" applyNumberFormat="1" applyFill="1" applyBorder="1" applyAlignment="1">
      <alignment horizontal="center"/>
    </xf>
    <xf numFmtId="0" fontId="0" fillId="0" borderId="0" xfId="0" applyFill="1" applyAlignment="1">
      <alignment wrapText="1"/>
    </xf>
    <xf numFmtId="0" fontId="0" fillId="0" borderId="10" xfId="0" applyFill="1" applyBorder="1"/>
    <xf numFmtId="0" fontId="0" fillId="0" borderId="43" xfId="0" applyFill="1" applyBorder="1" applyAlignment="1">
      <alignment wrapText="1"/>
    </xf>
    <xf numFmtId="0" fontId="0" fillId="3" borderId="1" xfId="0" applyFill="1" applyBorder="1"/>
    <xf numFmtId="0" fontId="0" fillId="0" borderId="19" xfId="0" applyFill="1" applyBorder="1" applyAlignment="1">
      <alignment horizontal="center" wrapText="1"/>
    </xf>
    <xf numFmtId="2" fontId="0" fillId="0" borderId="0" xfId="0" applyNumberFormat="1" applyFill="1"/>
    <xf numFmtId="1" fontId="0" fillId="0" borderId="0" xfId="0" applyNumberFormat="1" applyFill="1" applyAlignment="1">
      <alignment horizontal="center"/>
    </xf>
    <xf numFmtId="3" fontId="0" fillId="0" borderId="0" xfId="0" applyNumberFormat="1" applyFill="1"/>
    <xf numFmtId="2" fontId="0" fillId="0" borderId="3" xfId="0" applyNumberFormat="1" applyFill="1" applyBorder="1" applyAlignment="1">
      <alignment wrapText="1"/>
    </xf>
    <xf numFmtId="1" fontId="0" fillId="0" borderId="3" xfId="0" applyNumberFormat="1" applyFill="1" applyBorder="1" applyAlignment="1">
      <alignment horizontal="center" wrapText="1"/>
    </xf>
    <xf numFmtId="3" fontId="0" fillId="0" borderId="3" xfId="0" applyNumberFormat="1" applyFill="1" applyBorder="1" applyAlignment="1">
      <alignment wrapText="1"/>
    </xf>
    <xf numFmtId="0" fontId="0" fillId="0" borderId="5" xfId="0" applyFill="1" applyBorder="1" applyAlignment="1"/>
    <xf numFmtId="3" fontId="0" fillId="0" borderId="6" xfId="0" applyNumberFormat="1" applyFill="1" applyBorder="1" applyAlignment="1"/>
    <xf numFmtId="0" fontId="0" fillId="0" borderId="8" xfId="0" applyFill="1" applyBorder="1"/>
    <xf numFmtId="3" fontId="0" fillId="0" borderId="1" xfId="0" applyNumberFormat="1" applyFill="1" applyBorder="1" applyAlignment="1"/>
    <xf numFmtId="3" fontId="0" fillId="0" borderId="11" xfId="0" applyNumberFormat="1" applyFill="1" applyBorder="1" applyAlignment="1"/>
    <xf numFmtId="0" fontId="0" fillId="3" borderId="5" xfId="0" applyFill="1" applyBorder="1" applyAlignment="1"/>
    <xf numFmtId="1" fontId="0" fillId="3" borderId="6" xfId="0" applyNumberFormat="1" applyFill="1" applyBorder="1" applyAlignment="1">
      <alignment horizontal="center"/>
    </xf>
    <xf numFmtId="3" fontId="0" fillId="3" borderId="6" xfId="0" applyNumberFormat="1" applyFill="1" applyBorder="1" applyAlignment="1"/>
    <xf numFmtId="2" fontId="0" fillId="3" borderId="6" xfId="0" applyNumberFormat="1" applyFill="1" applyBorder="1"/>
    <xf numFmtId="0" fontId="0" fillId="0" borderId="57" xfId="0" applyFill="1" applyBorder="1"/>
    <xf numFmtId="3" fontId="0" fillId="0" borderId="8" xfId="0" applyNumberFormat="1" applyFill="1" applyBorder="1"/>
    <xf numFmtId="3" fontId="0" fillId="0" borderId="9" xfId="0" applyNumberFormat="1" applyFill="1" applyBorder="1"/>
    <xf numFmtId="0" fontId="0" fillId="0" borderId="24" xfId="0" applyFill="1" applyBorder="1"/>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0" borderId="32" xfId="0" applyBorder="1" applyAlignment="1">
      <alignment horizontal="center" wrapText="1"/>
    </xf>
    <xf numFmtId="0" fontId="0" fillId="0" borderId="60" xfId="0" applyBorder="1" applyAlignment="1">
      <alignment horizontal="center" wrapText="1"/>
    </xf>
    <xf numFmtId="3" fontId="0" fillId="0" borderId="56" xfId="0" applyNumberFormat="1" applyFill="1" applyBorder="1" applyAlignment="1">
      <alignment horizontal="center" vertical="center" wrapText="1"/>
    </xf>
    <xf numFmtId="3" fontId="0" fillId="0" borderId="57" xfId="0" applyNumberFormat="1" applyFill="1" applyBorder="1" applyAlignment="1">
      <alignment horizontal="center" vertical="center" wrapText="1"/>
    </xf>
    <xf numFmtId="3" fontId="0" fillId="0" borderId="58" xfId="0" applyNumberFormat="1" applyFill="1" applyBorder="1" applyAlignment="1">
      <alignment horizontal="center" vertical="center" wrapText="1"/>
    </xf>
    <xf numFmtId="0" fontId="0" fillId="0" borderId="32" xfId="0" applyFill="1" applyBorder="1" applyAlignment="1">
      <alignment horizontal="center"/>
    </xf>
    <xf numFmtId="0" fontId="0" fillId="0" borderId="26" xfId="0" applyFill="1" applyBorder="1" applyAlignment="1">
      <alignment horizontal="center"/>
    </xf>
    <xf numFmtId="0" fontId="0" fillId="0" borderId="28" xfId="0" applyFill="1" applyBorder="1" applyAlignment="1">
      <alignment horizontal="center"/>
    </xf>
    <xf numFmtId="3" fontId="0" fillId="0" borderId="29" xfId="0" applyNumberFormat="1" applyFill="1" applyBorder="1" applyAlignment="1">
      <alignment horizontal="center" vertical="center"/>
    </xf>
    <xf numFmtId="3" fontId="0" fillId="0" borderId="30" xfId="0" applyNumberFormat="1" applyFill="1" applyBorder="1" applyAlignment="1">
      <alignment horizontal="center" vertical="center"/>
    </xf>
    <xf numFmtId="3" fontId="0" fillId="0" borderId="31" xfId="0" applyNumberFormat="1" applyFill="1" applyBorder="1" applyAlignment="1">
      <alignment horizontal="center" vertic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8" xfId="0" applyFill="1" applyBorder="1" applyAlignment="1">
      <alignment horizontal="center" vertical="center"/>
    </xf>
    <xf numFmtId="0" fontId="0" fillId="0" borderId="13" xfId="0" applyFill="1" applyBorder="1" applyAlignment="1">
      <alignment horizontal="center" vertical="center"/>
    </xf>
    <xf numFmtId="0" fontId="0" fillId="0" borderId="19" xfId="0" applyFill="1" applyBorder="1" applyAlignment="1">
      <alignment horizontal="center" vertical="center"/>
    </xf>
    <xf numFmtId="3" fontId="0" fillId="0" borderId="15" xfId="0" applyNumberFormat="1" applyFill="1" applyBorder="1" applyAlignment="1">
      <alignment horizontal="center" vertical="center" wrapText="1"/>
    </xf>
    <xf numFmtId="3" fontId="0" fillId="0" borderId="16" xfId="0" applyNumberFormat="1" applyFill="1" applyBorder="1" applyAlignment="1">
      <alignment horizontal="center" vertical="center" wrapText="1"/>
    </xf>
    <xf numFmtId="3" fontId="0" fillId="0" borderId="17" xfId="0" applyNumberFormat="1" applyFill="1" applyBorder="1" applyAlignment="1">
      <alignment horizontal="center" vertical="center" wrapText="1"/>
    </xf>
    <xf numFmtId="3" fontId="0" fillId="0" borderId="20" xfId="0" applyNumberFormat="1" applyFill="1" applyBorder="1" applyAlignment="1">
      <alignment horizontal="center" vertical="center"/>
    </xf>
    <xf numFmtId="3" fontId="0" fillId="0" borderId="21" xfId="0" applyNumberFormat="1" applyFill="1" applyBorder="1" applyAlignment="1">
      <alignment horizontal="center" vertical="center"/>
    </xf>
    <xf numFmtId="3" fontId="0" fillId="0" borderId="22" xfId="0" applyNumberFormat="1" applyFill="1"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3" fontId="0" fillId="0" borderId="15" xfId="0" applyNumberFormat="1" applyBorder="1" applyAlignment="1">
      <alignment horizontal="center" vertical="center" wrapText="1"/>
    </xf>
    <xf numFmtId="3" fontId="0" fillId="0" borderId="16" xfId="0" applyNumberFormat="1" applyBorder="1" applyAlignment="1">
      <alignment horizontal="center" vertical="center" wrapText="1"/>
    </xf>
    <xf numFmtId="3" fontId="0" fillId="0" borderId="17" xfId="0" applyNumberFormat="1" applyBorder="1" applyAlignment="1">
      <alignment horizontal="center" vertical="center" wrapText="1"/>
    </xf>
    <xf numFmtId="3" fontId="0" fillId="0" borderId="20" xfId="0" applyNumberFormat="1" applyFill="1" applyBorder="1" applyAlignment="1">
      <alignment horizontal="center" vertical="center" wrapText="1"/>
    </xf>
    <xf numFmtId="3" fontId="0" fillId="0" borderId="21" xfId="0" applyNumberFormat="1" applyFill="1" applyBorder="1" applyAlignment="1">
      <alignment horizontal="center" vertical="center" wrapText="1"/>
    </xf>
    <xf numFmtId="3" fontId="0" fillId="0" borderId="22" xfId="0" applyNumberFormat="1" applyFill="1" applyBorder="1" applyAlignment="1">
      <alignment horizontal="center" vertical="center" wrapText="1"/>
    </xf>
    <xf numFmtId="3" fontId="0" fillId="0" borderId="23" xfId="0" applyNumberFormat="1" applyBorder="1" applyAlignment="1">
      <alignment horizontal="center" vertical="center" wrapText="1"/>
    </xf>
    <xf numFmtId="0" fontId="2" fillId="0" borderId="32" xfId="0"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0" fontId="0" fillId="0" borderId="35" xfId="0" applyFill="1" applyBorder="1" applyAlignment="1">
      <alignment horizontal="center" vertical="center" wrapText="1"/>
    </xf>
    <xf numFmtId="3" fontId="0" fillId="0" borderId="45" xfId="0" applyNumberFormat="1" applyFill="1" applyBorder="1" applyAlignment="1">
      <alignment horizontal="center" vertical="center" wrapText="1"/>
    </xf>
    <xf numFmtId="3" fontId="0" fillId="0" borderId="35" xfId="0" applyNumberFormat="1" applyFill="1" applyBorder="1" applyAlignment="1">
      <alignment horizontal="center" vertical="center" wrapText="1"/>
    </xf>
    <xf numFmtId="0" fontId="1" fillId="0" borderId="27" xfId="0" applyFont="1" applyBorder="1" applyAlignment="1">
      <alignment horizontal="center"/>
    </xf>
    <xf numFmtId="0" fontId="1" fillId="0" borderId="22" xfId="0" applyFont="1" applyBorder="1" applyAlignment="1">
      <alignment horizontal="center"/>
    </xf>
    <xf numFmtId="3" fontId="0" fillId="0" borderId="39" xfId="0" applyNumberFormat="1" applyFill="1" applyBorder="1" applyAlignment="1">
      <alignment horizontal="center" vertical="center"/>
    </xf>
    <xf numFmtId="0" fontId="0" fillId="0" borderId="46" xfId="0" applyFill="1" applyBorder="1" applyAlignment="1">
      <alignment horizontal="center" vertical="center" wrapText="1"/>
    </xf>
    <xf numFmtId="0" fontId="0" fillId="0" borderId="44" xfId="0" applyFill="1" applyBorder="1" applyAlignment="1">
      <alignment horizontal="center" vertical="center" wrapText="1"/>
    </xf>
    <xf numFmtId="0" fontId="0" fillId="0" borderId="46" xfId="0" applyFill="1" applyBorder="1" applyAlignment="1">
      <alignment horizontal="center" vertical="center"/>
    </xf>
    <xf numFmtId="0" fontId="0" fillId="0" borderId="8" xfId="0" applyFill="1" applyBorder="1" applyAlignment="1">
      <alignment horizontal="center" vertical="center"/>
    </xf>
    <xf numFmtId="3" fontId="0" fillId="0" borderId="44" xfId="0" applyNumberFormat="1" applyFill="1" applyBorder="1" applyAlignment="1">
      <alignment horizontal="center" vertical="center"/>
    </xf>
    <xf numFmtId="3" fontId="0" fillId="0" borderId="1" xfId="0" applyNumberFormat="1" applyFill="1" applyBorder="1" applyAlignment="1">
      <alignment horizontal="center" vertical="center"/>
    </xf>
    <xf numFmtId="3" fontId="0" fillId="0" borderId="8" xfId="0" applyNumberFormat="1" applyBorder="1" applyAlignment="1">
      <alignment horizontal="center" vertical="center"/>
    </xf>
    <xf numFmtId="3" fontId="0" fillId="0" borderId="10" xfId="0" applyNumberFormat="1" applyBorder="1" applyAlignment="1">
      <alignment horizontal="center" vertical="center"/>
    </xf>
    <xf numFmtId="3" fontId="0" fillId="0" borderId="1" xfId="0" applyNumberFormat="1" applyBorder="1" applyAlignment="1">
      <alignment horizontal="center" vertical="center"/>
    </xf>
    <xf numFmtId="3" fontId="0" fillId="0" borderId="11" xfId="0" applyNumberFormat="1" applyBorder="1" applyAlignment="1">
      <alignment horizontal="center" vertical="center"/>
    </xf>
    <xf numFmtId="0" fontId="0" fillId="0" borderId="46" xfId="0" applyBorder="1" applyAlignment="1">
      <alignment horizontal="center" vertical="center"/>
    </xf>
    <xf numFmtId="0" fontId="0" fillId="0" borderId="8" xfId="0" applyBorder="1" applyAlignment="1">
      <alignment horizontal="center" vertical="center"/>
    </xf>
    <xf numFmtId="3" fontId="0" fillId="0" borderId="44" xfId="0" applyNumberFormat="1" applyBorder="1" applyAlignment="1">
      <alignment horizontal="center" vertical="center" wrapText="1"/>
    </xf>
    <xf numFmtId="3"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33" xfId="0" applyBorder="1" applyAlignment="1">
      <alignment horizontal="center" vertical="center"/>
    </xf>
    <xf numFmtId="3" fontId="0" fillId="0" borderId="11" xfId="0" applyNumberFormat="1" applyFill="1" applyBorder="1" applyAlignment="1">
      <alignment horizontal="center" vertical="center"/>
    </xf>
    <xf numFmtId="3" fontId="0" fillId="0" borderId="35" xfId="0" applyNumberFormat="1" applyFill="1" applyBorder="1" applyAlignment="1">
      <alignment horizontal="center" vertical="center"/>
    </xf>
    <xf numFmtId="3" fontId="0" fillId="0" borderId="43" xfId="0" applyNumberFormat="1"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4" xfId="0" applyFill="1" applyBorder="1" applyAlignment="1">
      <alignment horizontal="center" vertical="center"/>
    </xf>
    <xf numFmtId="3" fontId="0" fillId="0" borderId="45" xfId="0" applyNumberFormat="1" applyFill="1" applyBorder="1" applyAlignment="1">
      <alignment horizontal="center" vertical="center"/>
    </xf>
    <xf numFmtId="3" fontId="0" fillId="0" borderId="44" xfId="0" applyNumberFormat="1" applyBorder="1" applyAlignment="1">
      <alignment horizontal="center" vertical="center"/>
    </xf>
    <xf numFmtId="0" fontId="0" fillId="0" borderId="23" xfId="0" applyBorder="1" applyAlignment="1">
      <alignment horizontal="center"/>
    </xf>
    <xf numFmtId="0" fontId="0" fillId="0" borderId="25" xfId="0" applyBorder="1" applyAlignment="1">
      <alignment horizontal="center"/>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0" fillId="2" borderId="36" xfId="0" applyFill="1" applyBorder="1" applyAlignment="1">
      <alignment horizontal="center" vertical="center" wrapText="1"/>
    </xf>
    <xf numFmtId="0" fontId="0" fillId="2" borderId="37" xfId="0" applyFill="1" applyBorder="1" applyAlignment="1">
      <alignment horizontal="center" vertical="center" wrapText="1"/>
    </xf>
    <xf numFmtId="0" fontId="0" fillId="0" borderId="6" xfId="0" applyFill="1" applyBorder="1" applyAlignment="1">
      <alignment horizontal="center" vertical="center" wrapText="1"/>
    </xf>
    <xf numFmtId="0" fontId="0" fillId="0" borderId="37" xfId="0" applyFill="1" applyBorder="1" applyAlignment="1">
      <alignment horizontal="center" vertical="center" wrapText="1"/>
    </xf>
    <xf numFmtId="0" fontId="0" fillId="3" borderId="1" xfId="0" applyFill="1" applyBorder="1" applyAlignment="1">
      <alignment horizontal="center"/>
    </xf>
    <xf numFmtId="3" fontId="0" fillId="3" borderId="1" xfId="0" applyNumberFormat="1" applyFill="1" applyBorder="1" applyAlignment="1">
      <alignment horizontal="center"/>
    </xf>
    <xf numFmtId="2" fontId="0" fillId="0" borderId="6" xfId="0" applyNumberFormat="1" applyFill="1" applyBorder="1" applyAlignment="1"/>
    <xf numFmtId="2" fontId="0" fillId="0" borderId="6" xfId="0" quotePrefix="1" applyNumberFormat="1" applyFill="1" applyBorder="1"/>
    <xf numFmtId="0" fontId="0" fillId="3" borderId="1" xfId="0" applyFill="1" applyBorder="1" applyAlignment="1">
      <alignment horizontal="center" vertical="center" wrapText="1"/>
    </xf>
    <xf numFmtId="3" fontId="0" fillId="3" borderId="1" xfId="0" applyNumberFormat="1" applyFill="1" applyBorder="1" applyAlignment="1">
      <alignment horizontal="center" wrapText="1"/>
    </xf>
    <xf numFmtId="3" fontId="0" fillId="3" borderId="1" xfId="0" applyNumberFormat="1" applyFill="1" applyBorder="1" applyAlignment="1">
      <alignment horizontal="center" vertical="center" wrapText="1"/>
    </xf>
    <xf numFmtId="3"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44" xfId="0" applyFill="1" applyBorder="1" applyAlignment="1">
      <alignment horizontal="center" vertical="center" wrapText="1"/>
    </xf>
    <xf numFmtId="0" fontId="0" fillId="0" borderId="8" xfId="0" applyFill="1" applyBorder="1" applyAlignment="1">
      <alignment wrapText="1"/>
    </xf>
    <xf numFmtId="0" fontId="0" fillId="0" borderId="1" xfId="0" applyFill="1" applyBorder="1"/>
    <xf numFmtId="0" fontId="0" fillId="0" borderId="1" xfId="0" applyFill="1" applyBorder="1" applyAlignment="1">
      <alignment horizontal="center"/>
    </xf>
    <xf numFmtId="0" fontId="0" fillId="0" borderId="8" xfId="0" applyFill="1" applyBorder="1" applyAlignment="1">
      <alignment horizontal="center"/>
    </xf>
    <xf numFmtId="3"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3" fontId="0" fillId="0" borderId="8" xfId="0" applyNumberFormat="1" applyFill="1" applyBorder="1" applyAlignment="1">
      <alignment horizontal="center" vertical="center" wrapText="1"/>
    </xf>
    <xf numFmtId="0" fontId="0" fillId="0" borderId="1" xfId="0" applyFill="1" applyBorder="1" applyAlignment="1">
      <alignment horizontal="center" wrapText="1"/>
    </xf>
    <xf numFmtId="0" fontId="0" fillId="0" borderId="8" xfId="0" applyFill="1" applyBorder="1" applyAlignment="1">
      <alignment horizontal="center" vertical="center" wrapText="1"/>
    </xf>
    <xf numFmtId="0" fontId="0" fillId="0" borderId="10" xfId="0" applyFill="1" applyBorder="1" applyAlignment="1">
      <alignment horizontal="center"/>
    </xf>
    <xf numFmtId="0" fontId="0" fillId="0" borderId="11" xfId="0" applyFill="1" applyBorder="1" applyAlignment="1">
      <alignment horizontal="center" vertical="center" wrapText="1"/>
    </xf>
    <xf numFmtId="0" fontId="0" fillId="0" borderId="45" xfId="0" applyFill="1" applyBorder="1" applyAlignment="1">
      <alignment horizontal="center" vertical="center" wrapText="1"/>
    </xf>
    <xf numFmtId="0" fontId="0" fillId="0" borderId="35" xfId="0" applyFill="1" applyBorder="1" applyAlignment="1">
      <alignment horizontal="center"/>
    </xf>
    <xf numFmtId="0" fontId="0" fillId="0" borderId="43" xfId="0" applyFill="1" applyBorder="1" applyAlignment="1">
      <alignment horizontal="center" vertical="center" wrapText="1"/>
    </xf>
    <xf numFmtId="0" fontId="2" fillId="0" borderId="60" xfId="0" applyFont="1" applyBorder="1" applyAlignment="1">
      <alignment horizontal="center"/>
    </xf>
    <xf numFmtId="0" fontId="2" fillId="0" borderId="20" xfId="0" applyFont="1" applyBorder="1" applyAlignment="1">
      <alignment horizontal="center"/>
    </xf>
    <xf numFmtId="0" fontId="0" fillId="3" borderId="34" xfId="0" applyFill="1" applyBorder="1" applyAlignment="1">
      <alignment horizontal="center"/>
    </xf>
    <xf numFmtId="0" fontId="0" fillId="3" borderId="16" xfId="0" applyFill="1" applyBorder="1" applyAlignment="1">
      <alignment horizontal="center"/>
    </xf>
    <xf numFmtId="0" fontId="0" fillId="3" borderId="44" xfId="0" applyFill="1" applyBorder="1" applyAlignment="1">
      <alignment horizontal="center"/>
    </xf>
    <xf numFmtId="0" fontId="0" fillId="3" borderId="34" xfId="0" applyFill="1" applyBorder="1" applyAlignment="1">
      <alignment horizontal="center" vertical="center" wrapText="1"/>
    </xf>
    <xf numFmtId="0" fontId="0" fillId="3" borderId="16" xfId="0" applyFill="1" applyBorder="1" applyAlignment="1">
      <alignment horizontal="center" vertical="center" wrapText="1"/>
    </xf>
    <xf numFmtId="3" fontId="0" fillId="3" borderId="34" xfId="0" applyNumberFormat="1" applyFill="1" applyBorder="1" applyAlignment="1">
      <alignment horizontal="center" wrapText="1"/>
    </xf>
    <xf numFmtId="0" fontId="0" fillId="3" borderId="16" xfId="0" applyFill="1" applyBorder="1" applyAlignment="1">
      <alignment horizontal="center" wrapText="1"/>
    </xf>
    <xf numFmtId="0" fontId="0" fillId="3" borderId="44" xfId="0" applyFill="1" applyBorder="1" applyAlignment="1">
      <alignment horizontal="center" wrapText="1"/>
    </xf>
    <xf numFmtId="0" fontId="0" fillId="0" borderId="23" xfId="0" applyFill="1" applyBorder="1" applyAlignment="1">
      <alignment horizont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0" fontId="0" fillId="0" borderId="38" xfId="0" applyFill="1" applyBorder="1" applyAlignment="1">
      <alignment horizontal="center" wrapText="1"/>
    </xf>
    <xf numFmtId="0" fontId="0" fillId="0" borderId="39" xfId="0" applyFill="1" applyBorder="1"/>
    <xf numFmtId="0" fontId="0" fillId="0" borderId="40" xfId="0" applyFill="1" applyBorder="1"/>
    <xf numFmtId="0" fontId="0" fillId="0" borderId="56" xfId="0" applyFill="1" applyBorder="1"/>
    <xf numFmtId="3" fontId="0" fillId="0" borderId="5" xfId="0" applyNumberFormat="1" applyFill="1" applyBorder="1"/>
    <xf numFmtId="3" fontId="0" fillId="0" borderId="7" xfId="0" applyNumberFormat="1" applyFill="1" applyBorder="1"/>
    <xf numFmtId="0" fontId="0" fillId="0" borderId="58" xfId="0" applyFill="1" applyBorder="1"/>
    <xf numFmtId="3" fontId="0" fillId="0" borderId="10" xfId="0" applyNumberFormat="1" applyFill="1" applyBorder="1"/>
    <xf numFmtId="3" fontId="0" fillId="0" borderId="12" xfId="0" applyNumberFormat="1" applyFill="1" applyBorder="1"/>
    <xf numFmtId="0" fontId="0" fillId="0" borderId="59" xfId="0" applyFill="1" applyBorder="1"/>
    <xf numFmtId="3" fontId="0" fillId="0" borderId="46" xfId="0" applyNumberFormat="1" applyFill="1" applyBorder="1"/>
    <xf numFmtId="3" fontId="0" fillId="0" borderId="47" xfId="0" applyNumberFormat="1" applyFill="1" applyBorder="1"/>
    <xf numFmtId="0" fontId="0" fillId="0" borderId="23" xfId="0" applyFill="1" applyBorder="1"/>
    <xf numFmtId="0" fontId="0" fillId="0" borderId="25" xfId="0" applyFill="1" applyBorder="1"/>
    <xf numFmtId="0" fontId="0" fillId="0" borderId="38" xfId="0" applyFill="1" applyBorder="1"/>
    <xf numFmtId="3" fontId="0" fillId="0" borderId="39" xfId="0" applyNumberFormat="1" applyFill="1" applyBorder="1"/>
    <xf numFmtId="3" fontId="0" fillId="0" borderId="40" xfId="0" applyNumberFormat="1" applyFill="1" applyBorder="1"/>
    <xf numFmtId="0" fontId="0" fillId="0" borderId="51" xfId="0" applyFill="1" applyBorder="1"/>
    <xf numFmtId="3" fontId="0" fillId="0" borderId="30" xfId="0" applyNumberFormat="1" applyFill="1" applyBorder="1"/>
    <xf numFmtId="3" fontId="0" fillId="0" borderId="54" xfId="0" applyNumberFormat="1" applyFill="1" applyBorder="1"/>
    <xf numFmtId="0" fontId="0" fillId="3" borderId="57" xfId="0" applyFill="1" applyBorder="1"/>
    <xf numFmtId="3" fontId="0" fillId="3" borderId="48" xfId="0" applyNumberFormat="1" applyFill="1" applyBorder="1"/>
    <xf numFmtId="0" fontId="0" fillId="0" borderId="18" xfId="0" applyFill="1" applyBorder="1" applyAlignment="1">
      <alignment wrapText="1"/>
    </xf>
    <xf numFmtId="0" fontId="0" fillId="0" borderId="56" xfId="0" applyFill="1" applyBorder="1" applyAlignment="1">
      <alignment horizontal="center" wrapText="1"/>
    </xf>
    <xf numFmtId="0" fontId="0" fillId="0" borderId="57" xfId="0" applyFill="1" applyBorder="1" applyAlignment="1">
      <alignment horizontal="center"/>
    </xf>
    <xf numFmtId="0" fontId="0" fillId="0" borderId="58" xfId="0" applyFill="1" applyBorder="1" applyAlignment="1">
      <alignment horizontal="center"/>
    </xf>
    <xf numFmtId="0" fontId="0" fillId="0" borderId="56" xfId="0" applyFill="1" applyBorder="1" applyAlignment="1">
      <alignment horizontal="center" vertical="center" wrapText="1"/>
    </xf>
    <xf numFmtId="0" fontId="0" fillId="0" borderId="57" xfId="0" applyFill="1" applyBorder="1" applyAlignment="1">
      <alignment horizontal="center" vertical="center"/>
    </xf>
    <xf numFmtId="0" fontId="0" fillId="0" borderId="58" xfId="0" applyFill="1" applyBorder="1" applyAlignment="1">
      <alignment horizontal="center" vertical="center"/>
    </xf>
    <xf numFmtId="3" fontId="0" fillId="0" borderId="56" xfId="0" applyNumberFormat="1" applyFill="1" applyBorder="1" applyAlignment="1">
      <alignment horizontal="center" vertical="center"/>
    </xf>
    <xf numFmtId="0" fontId="0" fillId="0" borderId="20" xfId="0" applyBorder="1" applyAlignment="1">
      <alignment horizontal="center" wrapText="1"/>
    </xf>
    <xf numFmtId="0" fontId="0" fillId="3" borderId="24" xfId="0" applyFill="1" applyBorder="1" applyAlignment="1">
      <alignment horizontal="center" vertical="center" wrapText="1"/>
    </xf>
    <xf numFmtId="0" fontId="0" fillId="3" borderId="51" xfId="0" applyFill="1" applyBorder="1" applyAlignment="1">
      <alignment horizontal="center" vertical="center" wrapText="1"/>
    </xf>
    <xf numFmtId="0" fontId="0" fillId="3" borderId="14" xfId="0" applyFill="1" applyBorder="1" applyAlignment="1">
      <alignment horizontal="center" vertical="center" wrapText="1"/>
    </xf>
    <xf numFmtId="3" fontId="0" fillId="3" borderId="24" xfId="0" applyNumberForma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1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7"/>
  <sheetViews>
    <sheetView zoomScale="70" zoomScaleNormal="70" workbookViewId="0">
      <pane xSplit="1" ySplit="2" topLeftCell="B3" activePane="bottomRight" state="frozen"/>
      <selection pane="topRight" activeCell="B1" sqref="B1"/>
      <selection pane="bottomLeft" activeCell="A2" sqref="A2"/>
      <selection pane="bottomRight" activeCell="O3" sqref="O3:O8"/>
    </sheetView>
  </sheetViews>
  <sheetFormatPr defaultRowHeight="15" x14ac:dyDescent="0.25"/>
  <cols>
    <col min="1" max="1" width="16.42578125" customWidth="1"/>
    <col min="2" max="2" width="10.7109375" style="13" customWidth="1"/>
    <col min="3" max="3" width="9.5703125" style="67" customWidth="1"/>
    <col min="4" max="4" width="11.140625" style="67" customWidth="1"/>
    <col min="5" max="5" width="11.140625" style="68" customWidth="1"/>
    <col min="6" max="6" width="8.140625" style="69" customWidth="1"/>
    <col min="7" max="7" width="9" hidden="1" customWidth="1"/>
    <col min="8" max="8" width="10.85546875" style="13" customWidth="1"/>
    <col min="9" max="9" width="15" style="13" customWidth="1"/>
    <col min="10" max="10" width="18.140625" customWidth="1"/>
    <col min="11" max="11" width="16.85546875" style="13" customWidth="1"/>
    <col min="12" max="12" width="18.85546875" style="8" customWidth="1"/>
    <col min="13" max="13" width="43.140625" style="62" customWidth="1"/>
    <col min="14" max="14" width="36.7109375" style="13" customWidth="1"/>
    <col min="15" max="15" width="50.140625" customWidth="1"/>
  </cols>
  <sheetData>
    <row r="1" spans="1:15" ht="15.75" thickBot="1" x14ac:dyDescent="0.3">
      <c r="I1" s="93">
        <v>2020</v>
      </c>
      <c r="J1" s="94"/>
      <c r="K1" s="94"/>
      <c r="L1" s="95"/>
      <c r="M1" s="88">
        <v>2021</v>
      </c>
      <c r="N1" s="89"/>
      <c r="O1" s="236"/>
    </row>
    <row r="2" spans="1:15" s="8" customFormat="1" ht="63.75" customHeight="1" thickBot="1" x14ac:dyDescent="0.3">
      <c r="A2" s="9" t="s">
        <v>0</v>
      </c>
      <c r="B2" s="11" t="s">
        <v>21</v>
      </c>
      <c r="C2" s="70" t="s">
        <v>17</v>
      </c>
      <c r="D2" s="70" t="s">
        <v>16</v>
      </c>
      <c r="E2" s="71" t="s">
        <v>90</v>
      </c>
      <c r="F2" s="72" t="s">
        <v>3</v>
      </c>
      <c r="G2" s="10" t="s">
        <v>14</v>
      </c>
      <c r="H2" s="12" t="s">
        <v>18</v>
      </c>
      <c r="I2" s="11" t="s">
        <v>24</v>
      </c>
      <c r="J2" s="11" t="s">
        <v>25</v>
      </c>
      <c r="K2" s="21" t="s">
        <v>27</v>
      </c>
      <c r="L2" s="22" t="s">
        <v>26</v>
      </c>
      <c r="M2" s="66" t="s">
        <v>115</v>
      </c>
      <c r="N2" s="228" t="s">
        <v>110</v>
      </c>
      <c r="O2" s="239" t="s">
        <v>141</v>
      </c>
    </row>
    <row r="3" spans="1:15" x14ac:dyDescent="0.25">
      <c r="A3" s="102" t="s">
        <v>4</v>
      </c>
      <c r="B3" s="73" t="s">
        <v>15</v>
      </c>
      <c r="C3" s="171">
        <v>8.5307999999999993</v>
      </c>
      <c r="D3" s="171">
        <v>3</v>
      </c>
      <c r="E3" s="59">
        <v>5</v>
      </c>
      <c r="F3" s="74">
        <f>D3*60*E3</f>
        <v>900</v>
      </c>
      <c r="G3" s="3">
        <f>F3*0.6</f>
        <v>540</v>
      </c>
      <c r="H3" s="14"/>
      <c r="I3" s="96" t="s">
        <v>28</v>
      </c>
      <c r="J3" s="108">
        <v>1000</v>
      </c>
      <c r="K3" s="111" t="s">
        <v>29</v>
      </c>
      <c r="L3" s="123">
        <v>12000</v>
      </c>
      <c r="M3" s="90" t="s">
        <v>89</v>
      </c>
      <c r="N3" s="229" t="s">
        <v>105</v>
      </c>
      <c r="O3" s="238" t="s">
        <v>135</v>
      </c>
    </row>
    <row r="4" spans="1:15" x14ac:dyDescent="0.25">
      <c r="A4" s="103"/>
      <c r="B4" s="23" t="s">
        <v>1</v>
      </c>
      <c r="C4" s="24">
        <v>10.535399999999999</v>
      </c>
      <c r="D4" s="24">
        <v>5.25</v>
      </c>
      <c r="E4" s="58">
        <v>5</v>
      </c>
      <c r="F4" s="25">
        <f t="shared" ref="F4:F8" si="0">D4*60*E4</f>
        <v>1575</v>
      </c>
      <c r="G4" s="2">
        <f t="shared" ref="G4:G56" si="1">F4*0.6</f>
        <v>945</v>
      </c>
      <c r="H4" s="15"/>
      <c r="I4" s="97"/>
      <c r="J4" s="109"/>
      <c r="K4" s="112"/>
      <c r="L4" s="100"/>
      <c r="M4" s="91"/>
      <c r="N4" s="230"/>
      <c r="O4" s="237"/>
    </row>
    <row r="5" spans="1:15" x14ac:dyDescent="0.25">
      <c r="A5" s="103"/>
      <c r="B5" s="75" t="s">
        <v>19</v>
      </c>
      <c r="C5" s="19">
        <v>12.54</v>
      </c>
      <c r="D5" s="19">
        <v>8.25</v>
      </c>
      <c r="E5" s="60">
        <v>5</v>
      </c>
      <c r="F5" s="76">
        <f t="shared" si="0"/>
        <v>2475</v>
      </c>
      <c r="G5" s="2">
        <f t="shared" si="1"/>
        <v>1485</v>
      </c>
      <c r="H5" s="15"/>
      <c r="I5" s="97"/>
      <c r="J5" s="109"/>
      <c r="K5" s="112"/>
      <c r="L5" s="100"/>
      <c r="M5" s="91"/>
      <c r="N5" s="230"/>
      <c r="O5" s="237"/>
    </row>
    <row r="6" spans="1:15" x14ac:dyDescent="0.25">
      <c r="A6" s="103"/>
      <c r="B6" s="75" t="s">
        <v>7</v>
      </c>
      <c r="C6" s="19">
        <v>14.544599999999999</v>
      </c>
      <c r="D6" s="19">
        <v>12.25</v>
      </c>
      <c r="E6" s="60">
        <v>5</v>
      </c>
      <c r="F6" s="76">
        <f t="shared" si="0"/>
        <v>3675</v>
      </c>
      <c r="G6" s="2">
        <f t="shared" si="1"/>
        <v>2205</v>
      </c>
      <c r="H6" s="15"/>
      <c r="I6" s="97"/>
      <c r="J6" s="109"/>
      <c r="K6" s="112"/>
      <c r="L6" s="100"/>
      <c r="M6" s="91"/>
      <c r="N6" s="230"/>
      <c r="O6" s="237"/>
    </row>
    <row r="7" spans="1:15" x14ac:dyDescent="0.25">
      <c r="A7" s="103"/>
      <c r="B7" s="75" t="s">
        <v>20</v>
      </c>
      <c r="C7" s="19">
        <v>16.549199999999999</v>
      </c>
      <c r="D7" s="19">
        <v>17</v>
      </c>
      <c r="E7" s="60">
        <v>5</v>
      </c>
      <c r="F7" s="76">
        <f t="shared" si="0"/>
        <v>5100</v>
      </c>
      <c r="G7" s="2">
        <f t="shared" si="1"/>
        <v>3060</v>
      </c>
      <c r="H7" s="15"/>
      <c r="I7" s="97"/>
      <c r="J7" s="109"/>
      <c r="K7" s="112"/>
      <c r="L7" s="100"/>
      <c r="M7" s="91"/>
      <c r="N7" s="230"/>
      <c r="O7" s="237"/>
    </row>
    <row r="8" spans="1:15" ht="15.75" thickBot="1" x14ac:dyDescent="0.3">
      <c r="A8" s="104"/>
      <c r="B8" s="63" t="s">
        <v>2</v>
      </c>
      <c r="C8" s="20">
        <v>18.553799999999999</v>
      </c>
      <c r="D8" s="20">
        <v>22.75</v>
      </c>
      <c r="E8" s="61">
        <v>5</v>
      </c>
      <c r="F8" s="77">
        <f t="shared" si="0"/>
        <v>6825</v>
      </c>
      <c r="G8" s="5">
        <f t="shared" si="1"/>
        <v>4095</v>
      </c>
      <c r="H8" s="17"/>
      <c r="I8" s="98"/>
      <c r="J8" s="110"/>
      <c r="K8" s="113"/>
      <c r="L8" s="101"/>
      <c r="M8" s="92"/>
      <c r="N8" s="231"/>
      <c r="O8" s="237"/>
    </row>
    <row r="9" spans="1:15" x14ac:dyDescent="0.25">
      <c r="A9" s="102" t="s">
        <v>5</v>
      </c>
      <c r="B9" s="73" t="s">
        <v>15</v>
      </c>
      <c r="C9" s="7">
        <v>10.9534</v>
      </c>
      <c r="D9" s="7">
        <v>17.993436903320003</v>
      </c>
      <c r="E9" s="59">
        <v>10</v>
      </c>
      <c r="F9" s="74">
        <f>D9*60*E9</f>
        <v>10796.062141992003</v>
      </c>
      <c r="G9" s="3">
        <f t="shared" si="1"/>
        <v>6477.637285195201</v>
      </c>
      <c r="H9" s="18"/>
      <c r="I9" s="96">
        <v>13000</v>
      </c>
      <c r="J9" s="108" t="s">
        <v>30</v>
      </c>
      <c r="K9" s="111">
        <v>20000</v>
      </c>
      <c r="L9" s="99" t="s">
        <v>31</v>
      </c>
      <c r="M9" s="90" t="s">
        <v>88</v>
      </c>
      <c r="N9" s="232" t="s">
        <v>106</v>
      </c>
      <c r="O9" s="240" t="s">
        <v>136</v>
      </c>
    </row>
    <row r="10" spans="1:15" x14ac:dyDescent="0.25">
      <c r="A10" s="103"/>
      <c r="B10" s="23" t="s">
        <v>1</v>
      </c>
      <c r="C10" s="24">
        <v>14.4465</v>
      </c>
      <c r="D10" s="24">
        <v>31.607416450153536</v>
      </c>
      <c r="E10" s="58">
        <v>10</v>
      </c>
      <c r="F10" s="25">
        <f t="shared" ref="F10:F14" si="2">D10*60*E10</f>
        <v>18964.449870092121</v>
      </c>
      <c r="G10" s="2">
        <f t="shared" si="1"/>
        <v>11378.669922055273</v>
      </c>
      <c r="H10" s="15"/>
      <c r="I10" s="97"/>
      <c r="J10" s="109"/>
      <c r="K10" s="112"/>
      <c r="L10" s="100"/>
      <c r="M10" s="91"/>
      <c r="N10" s="233"/>
      <c r="O10" s="86"/>
    </row>
    <row r="11" spans="1:15" x14ac:dyDescent="0.25">
      <c r="A11" s="103"/>
      <c r="B11" s="75" t="s">
        <v>19</v>
      </c>
      <c r="C11" s="19">
        <v>17.939599999999999</v>
      </c>
      <c r="D11" s="19">
        <v>52.221926383591068</v>
      </c>
      <c r="E11" s="60">
        <v>10</v>
      </c>
      <c r="F11" s="76">
        <f t="shared" si="2"/>
        <v>31333.155830154643</v>
      </c>
      <c r="G11" s="2">
        <f t="shared" si="1"/>
        <v>18799.893498092784</v>
      </c>
      <c r="H11" s="15"/>
      <c r="I11" s="97"/>
      <c r="J11" s="109"/>
      <c r="K11" s="112"/>
      <c r="L11" s="100"/>
      <c r="M11" s="91"/>
      <c r="N11" s="233"/>
      <c r="O11" s="86"/>
    </row>
    <row r="12" spans="1:15" x14ac:dyDescent="0.25">
      <c r="A12" s="103"/>
      <c r="B12" s="75" t="s">
        <v>7</v>
      </c>
      <c r="C12" s="19">
        <v>21.432700000000001</v>
      </c>
      <c r="D12" s="19">
        <v>96.858810588530389</v>
      </c>
      <c r="E12" s="60">
        <v>10</v>
      </c>
      <c r="F12" s="76">
        <f t="shared" si="2"/>
        <v>58115.286353118237</v>
      </c>
      <c r="G12" s="2">
        <f t="shared" si="1"/>
        <v>34869.17181187094</v>
      </c>
      <c r="H12" s="15"/>
      <c r="I12" s="97"/>
      <c r="J12" s="109"/>
      <c r="K12" s="112"/>
      <c r="L12" s="100"/>
      <c r="M12" s="91"/>
      <c r="N12" s="233"/>
      <c r="O12" s="86"/>
    </row>
    <row r="13" spans="1:15" x14ac:dyDescent="0.25">
      <c r="A13" s="103"/>
      <c r="B13" s="75" t="s">
        <v>20</v>
      </c>
      <c r="C13" s="19">
        <v>24.925799999999999</v>
      </c>
      <c r="D13" s="19">
        <v>135.85792262258204</v>
      </c>
      <c r="E13" s="60">
        <v>10</v>
      </c>
      <c r="F13" s="76">
        <f t="shared" si="2"/>
        <v>81514.753573549227</v>
      </c>
      <c r="G13" s="2">
        <f t="shared" si="1"/>
        <v>48908.852144129538</v>
      </c>
      <c r="H13" s="15"/>
      <c r="I13" s="97"/>
      <c r="J13" s="109"/>
      <c r="K13" s="112"/>
      <c r="L13" s="100"/>
      <c r="M13" s="91"/>
      <c r="N13" s="233"/>
      <c r="O13" s="86"/>
    </row>
    <row r="14" spans="1:15" ht="15.75" thickBot="1" x14ac:dyDescent="0.3">
      <c r="A14" s="104"/>
      <c r="B14" s="63" t="s">
        <v>2</v>
      </c>
      <c r="C14" s="20">
        <v>28.418900000000001</v>
      </c>
      <c r="D14" s="20">
        <v>177.89110316841732</v>
      </c>
      <c r="E14" s="61">
        <v>10</v>
      </c>
      <c r="F14" s="77">
        <f t="shared" si="2"/>
        <v>106734.66190105039</v>
      </c>
      <c r="G14" s="5">
        <f t="shared" si="1"/>
        <v>64040.797140630231</v>
      </c>
      <c r="H14" s="17"/>
      <c r="I14" s="98"/>
      <c r="J14" s="110"/>
      <c r="K14" s="113"/>
      <c r="L14" s="101"/>
      <c r="M14" s="92"/>
      <c r="N14" s="234"/>
      <c r="O14" s="86"/>
    </row>
    <row r="15" spans="1:15" x14ac:dyDescent="0.25">
      <c r="A15" s="102" t="s">
        <v>8</v>
      </c>
      <c r="B15" s="73" t="s">
        <v>15</v>
      </c>
      <c r="C15" s="7">
        <v>12.1629</v>
      </c>
      <c r="D15" s="7">
        <v>20.5</v>
      </c>
      <c r="E15" s="59">
        <v>15</v>
      </c>
      <c r="F15" s="74">
        <f t="shared" ref="F15:F56" si="3">D15*60*E15</f>
        <v>18450</v>
      </c>
      <c r="G15" s="3">
        <f t="shared" si="1"/>
        <v>11070</v>
      </c>
      <c r="H15" s="18"/>
      <c r="I15" s="96" t="s">
        <v>32</v>
      </c>
      <c r="J15" s="114" t="s">
        <v>33</v>
      </c>
      <c r="K15" s="111" t="s">
        <v>34</v>
      </c>
      <c r="L15" s="99" t="s">
        <v>35</v>
      </c>
      <c r="M15" s="90">
        <v>60000</v>
      </c>
      <c r="N15" s="232" t="s">
        <v>130</v>
      </c>
      <c r="O15" s="240" t="s">
        <v>137</v>
      </c>
    </row>
    <row r="16" spans="1:15" x14ac:dyDescent="0.25">
      <c r="A16" s="103"/>
      <c r="B16" s="75" t="s">
        <v>1</v>
      </c>
      <c r="C16" s="19">
        <v>17.9224</v>
      </c>
      <c r="D16" s="19">
        <v>42.25</v>
      </c>
      <c r="E16" s="60">
        <v>15</v>
      </c>
      <c r="F16" s="76">
        <f t="shared" si="3"/>
        <v>38025</v>
      </c>
      <c r="G16" s="2">
        <f t="shared" si="1"/>
        <v>22815</v>
      </c>
      <c r="H16" s="15"/>
      <c r="I16" s="97"/>
      <c r="J16" s="115"/>
      <c r="K16" s="112"/>
      <c r="L16" s="100"/>
      <c r="M16" s="91"/>
      <c r="N16" s="233"/>
      <c r="O16" s="86"/>
    </row>
    <row r="17" spans="1:15" x14ac:dyDescent="0.25">
      <c r="A17" s="103"/>
      <c r="B17" s="23" t="s">
        <v>19</v>
      </c>
      <c r="C17" s="24">
        <v>23.681900000000002</v>
      </c>
      <c r="D17" s="24">
        <v>75.25</v>
      </c>
      <c r="E17" s="58">
        <v>15</v>
      </c>
      <c r="F17" s="25">
        <f t="shared" si="3"/>
        <v>67725</v>
      </c>
      <c r="G17" s="2">
        <f t="shared" si="1"/>
        <v>40635</v>
      </c>
      <c r="H17" s="15"/>
      <c r="I17" s="97"/>
      <c r="J17" s="115"/>
      <c r="K17" s="112"/>
      <c r="L17" s="100"/>
      <c r="M17" s="91"/>
      <c r="N17" s="233"/>
      <c r="O17" s="86"/>
    </row>
    <row r="18" spans="1:15" x14ac:dyDescent="0.25">
      <c r="A18" s="103"/>
      <c r="B18" s="75" t="s">
        <v>7</v>
      </c>
      <c r="C18" s="19">
        <v>29.441400000000002</v>
      </c>
      <c r="D18" s="19">
        <v>102.25</v>
      </c>
      <c r="E18" s="60">
        <v>15</v>
      </c>
      <c r="F18" s="76">
        <f t="shared" si="3"/>
        <v>92025</v>
      </c>
      <c r="G18" s="2">
        <f t="shared" si="1"/>
        <v>55215</v>
      </c>
      <c r="H18" s="15"/>
      <c r="I18" s="97"/>
      <c r="J18" s="115"/>
      <c r="K18" s="112"/>
      <c r="L18" s="100"/>
      <c r="M18" s="91"/>
      <c r="N18" s="233"/>
      <c r="O18" s="86"/>
    </row>
    <row r="19" spans="1:15" x14ac:dyDescent="0.25">
      <c r="A19" s="103"/>
      <c r="B19" s="75" t="s">
        <v>20</v>
      </c>
      <c r="C19" s="19">
        <v>35.200899999999997</v>
      </c>
      <c r="D19" s="19">
        <v>151.25</v>
      </c>
      <c r="E19" s="60">
        <v>15</v>
      </c>
      <c r="F19" s="76">
        <f t="shared" si="3"/>
        <v>136125</v>
      </c>
      <c r="G19" s="2">
        <f t="shared" si="1"/>
        <v>81675</v>
      </c>
      <c r="H19" s="15"/>
      <c r="I19" s="97"/>
      <c r="J19" s="115"/>
      <c r="K19" s="112"/>
      <c r="L19" s="100"/>
      <c r="M19" s="91"/>
      <c r="N19" s="233"/>
      <c r="O19" s="86"/>
    </row>
    <row r="20" spans="1:15" ht="15.75" thickBot="1" x14ac:dyDescent="0.3">
      <c r="A20" s="104"/>
      <c r="B20" s="63" t="s">
        <v>2</v>
      </c>
      <c r="C20" s="20">
        <v>40.9604</v>
      </c>
      <c r="D20" s="20">
        <v>251.25</v>
      </c>
      <c r="E20" s="61">
        <v>15</v>
      </c>
      <c r="F20" s="77">
        <f t="shared" si="3"/>
        <v>226125</v>
      </c>
      <c r="G20" s="5">
        <f t="shared" si="1"/>
        <v>135675</v>
      </c>
      <c r="H20" s="17"/>
      <c r="I20" s="98"/>
      <c r="J20" s="116"/>
      <c r="K20" s="113"/>
      <c r="L20" s="101"/>
      <c r="M20" s="92"/>
      <c r="N20" s="234"/>
      <c r="O20" s="86"/>
    </row>
    <row r="21" spans="1:15" x14ac:dyDescent="0.25">
      <c r="A21" s="102" t="s">
        <v>6</v>
      </c>
      <c r="B21" s="73" t="s">
        <v>15</v>
      </c>
      <c r="C21" s="172" t="s">
        <v>23</v>
      </c>
      <c r="D21" s="7" t="s">
        <v>23</v>
      </c>
      <c r="E21" s="59">
        <v>10</v>
      </c>
      <c r="F21" s="74" t="e">
        <f t="shared" si="3"/>
        <v>#VALUE!</v>
      </c>
      <c r="G21" s="3" t="e">
        <f t="shared" si="1"/>
        <v>#VALUE!</v>
      </c>
      <c r="H21" s="18"/>
      <c r="I21" s="96" t="s">
        <v>23</v>
      </c>
      <c r="J21" s="117" t="s">
        <v>36</v>
      </c>
      <c r="K21" s="111">
        <v>30000</v>
      </c>
      <c r="L21" s="99" t="s">
        <v>37</v>
      </c>
      <c r="M21" s="90" t="s">
        <v>86</v>
      </c>
      <c r="N21" s="232" t="s">
        <v>107</v>
      </c>
      <c r="O21" s="86" t="s">
        <v>101</v>
      </c>
    </row>
    <row r="22" spans="1:15" x14ac:dyDescent="0.25">
      <c r="A22" s="103"/>
      <c r="B22" s="75" t="s">
        <v>1</v>
      </c>
      <c r="C22" s="19">
        <v>8.2416</v>
      </c>
      <c r="D22" s="19">
        <v>7.5</v>
      </c>
      <c r="E22" s="60">
        <v>10</v>
      </c>
      <c r="F22" s="76">
        <f t="shared" si="3"/>
        <v>4500</v>
      </c>
      <c r="G22" s="2">
        <f t="shared" si="1"/>
        <v>2700</v>
      </c>
      <c r="H22" s="15"/>
      <c r="I22" s="97"/>
      <c r="J22" s="118"/>
      <c r="K22" s="112"/>
      <c r="L22" s="100"/>
      <c r="M22" s="91"/>
      <c r="N22" s="233"/>
      <c r="O22" s="86"/>
    </row>
    <row r="23" spans="1:15" x14ac:dyDescent="0.25">
      <c r="A23" s="103"/>
      <c r="B23" s="75" t="s">
        <v>19</v>
      </c>
      <c r="C23" s="19">
        <v>16.654600000000002</v>
      </c>
      <c r="D23" s="19">
        <v>29</v>
      </c>
      <c r="E23" s="60">
        <v>10</v>
      </c>
      <c r="F23" s="76">
        <f t="shared" si="3"/>
        <v>17400</v>
      </c>
      <c r="G23" s="2">
        <f t="shared" si="1"/>
        <v>10440</v>
      </c>
      <c r="H23" s="15"/>
      <c r="I23" s="97"/>
      <c r="J23" s="118"/>
      <c r="K23" s="112"/>
      <c r="L23" s="100"/>
      <c r="M23" s="91"/>
      <c r="N23" s="233"/>
      <c r="O23" s="86"/>
    </row>
    <row r="24" spans="1:15" x14ac:dyDescent="0.25">
      <c r="A24" s="103"/>
      <c r="B24" s="75" t="s">
        <v>7</v>
      </c>
      <c r="C24" s="19">
        <v>25.067599999999999</v>
      </c>
      <c r="D24" s="19">
        <v>99</v>
      </c>
      <c r="E24" s="60">
        <v>10</v>
      </c>
      <c r="F24" s="76">
        <f t="shared" si="3"/>
        <v>59400</v>
      </c>
      <c r="G24" s="2">
        <f t="shared" si="1"/>
        <v>35640</v>
      </c>
      <c r="H24" s="15"/>
      <c r="I24" s="97"/>
      <c r="J24" s="118"/>
      <c r="K24" s="112"/>
      <c r="L24" s="100"/>
      <c r="M24" s="91"/>
      <c r="N24" s="233"/>
      <c r="O24" s="86"/>
    </row>
    <row r="25" spans="1:15" x14ac:dyDescent="0.25">
      <c r="A25" s="103"/>
      <c r="B25" s="75" t="s">
        <v>20</v>
      </c>
      <c r="C25" s="19">
        <v>33.480599999999995</v>
      </c>
      <c r="D25" s="19">
        <v>400</v>
      </c>
      <c r="E25" s="60">
        <v>10</v>
      </c>
      <c r="F25" s="76">
        <f t="shared" si="3"/>
        <v>240000</v>
      </c>
      <c r="G25" s="2">
        <f t="shared" si="1"/>
        <v>144000</v>
      </c>
      <c r="H25" s="15"/>
      <c r="I25" s="97"/>
      <c r="J25" s="118"/>
      <c r="K25" s="112"/>
      <c r="L25" s="100"/>
      <c r="M25" s="91"/>
      <c r="N25" s="233"/>
      <c r="O25" s="86"/>
    </row>
    <row r="26" spans="1:15" ht="15.75" thickBot="1" x14ac:dyDescent="0.3">
      <c r="A26" s="104"/>
      <c r="B26" s="63" t="s">
        <v>2</v>
      </c>
      <c r="C26" s="20">
        <v>41.893599999999999</v>
      </c>
      <c r="D26" s="20">
        <v>920</v>
      </c>
      <c r="E26" s="61">
        <v>10</v>
      </c>
      <c r="F26" s="77">
        <f t="shared" si="3"/>
        <v>552000</v>
      </c>
      <c r="G26" s="5">
        <f t="shared" si="1"/>
        <v>331200</v>
      </c>
      <c r="H26" s="17"/>
      <c r="I26" s="98"/>
      <c r="J26" s="119"/>
      <c r="K26" s="113"/>
      <c r="L26" s="101"/>
      <c r="M26" s="92"/>
      <c r="N26" s="234"/>
      <c r="O26" s="86"/>
    </row>
    <row r="27" spans="1:15" x14ac:dyDescent="0.25">
      <c r="A27" s="102" t="s">
        <v>9</v>
      </c>
      <c r="B27" s="73" t="s">
        <v>15</v>
      </c>
      <c r="C27" s="7">
        <v>15.54795</v>
      </c>
      <c r="D27" s="7">
        <v>30.92173410639635</v>
      </c>
      <c r="E27" s="59">
        <v>10</v>
      </c>
      <c r="F27" s="74">
        <f t="shared" si="3"/>
        <v>18553.04046383781</v>
      </c>
      <c r="G27" s="3">
        <f t="shared" si="1"/>
        <v>11131.824278302685</v>
      </c>
      <c r="H27" s="18"/>
      <c r="I27" s="96">
        <v>33000</v>
      </c>
      <c r="J27" s="117">
        <v>30000</v>
      </c>
      <c r="K27" s="111" t="s">
        <v>38</v>
      </c>
      <c r="L27" s="99" t="s">
        <v>39</v>
      </c>
      <c r="M27" s="90" t="s">
        <v>91</v>
      </c>
      <c r="N27" s="235" t="s">
        <v>131</v>
      </c>
      <c r="O27" s="240" t="s">
        <v>138</v>
      </c>
    </row>
    <row r="28" spans="1:15" x14ac:dyDescent="0.25">
      <c r="A28" s="103"/>
      <c r="B28" s="23" t="s">
        <v>1</v>
      </c>
      <c r="C28" s="24">
        <v>19.520899999999997</v>
      </c>
      <c r="D28" s="24">
        <v>65.021734487866155</v>
      </c>
      <c r="E28" s="58">
        <v>10</v>
      </c>
      <c r="F28" s="25">
        <f t="shared" si="3"/>
        <v>39013.040692719689</v>
      </c>
      <c r="G28" s="2">
        <f t="shared" si="1"/>
        <v>23407.824415631814</v>
      </c>
      <c r="H28" s="15"/>
      <c r="I28" s="97"/>
      <c r="J28" s="118"/>
      <c r="K28" s="112"/>
      <c r="L28" s="100"/>
      <c r="M28" s="91"/>
      <c r="N28" s="233"/>
      <c r="O28" s="86"/>
    </row>
    <row r="29" spans="1:15" x14ac:dyDescent="0.25">
      <c r="A29" s="103"/>
      <c r="B29" s="75" t="s">
        <v>19</v>
      </c>
      <c r="C29" s="19">
        <v>23.493849999999998</v>
      </c>
      <c r="D29" s="19">
        <v>110.02173067316865</v>
      </c>
      <c r="E29" s="60">
        <v>10</v>
      </c>
      <c r="F29" s="76">
        <f t="shared" si="3"/>
        <v>66013.038403901184</v>
      </c>
      <c r="G29" s="2">
        <f t="shared" si="1"/>
        <v>39607.823042340708</v>
      </c>
      <c r="H29" s="15"/>
      <c r="I29" s="97"/>
      <c r="J29" s="118"/>
      <c r="K29" s="112"/>
      <c r="L29" s="100"/>
      <c r="M29" s="91"/>
      <c r="N29" s="233"/>
      <c r="O29" s="86"/>
    </row>
    <row r="30" spans="1:15" x14ac:dyDescent="0.25">
      <c r="A30" s="103"/>
      <c r="B30" s="75" t="s">
        <v>7</v>
      </c>
      <c r="C30" s="19">
        <v>27.466799999999999</v>
      </c>
      <c r="D30" s="19">
        <v>160.92173982844264</v>
      </c>
      <c r="E30" s="60">
        <v>10</v>
      </c>
      <c r="F30" s="76">
        <f t="shared" si="3"/>
        <v>96553.043897065581</v>
      </c>
      <c r="G30" s="2">
        <f t="shared" si="1"/>
        <v>57931.826338239349</v>
      </c>
      <c r="H30" s="15"/>
      <c r="I30" s="97"/>
      <c r="J30" s="118"/>
      <c r="K30" s="112"/>
      <c r="L30" s="100"/>
      <c r="M30" s="91"/>
      <c r="N30" s="233"/>
      <c r="O30" s="86"/>
    </row>
    <row r="31" spans="1:15" x14ac:dyDescent="0.25">
      <c r="A31" s="103"/>
      <c r="B31" s="75" t="s">
        <v>20</v>
      </c>
      <c r="C31" s="19">
        <v>31.43975</v>
      </c>
      <c r="D31" s="19">
        <v>251.82173372492664</v>
      </c>
      <c r="E31" s="60">
        <v>10</v>
      </c>
      <c r="F31" s="76">
        <f t="shared" si="3"/>
        <v>151093.04023495599</v>
      </c>
      <c r="G31" s="2">
        <f t="shared" si="1"/>
        <v>90655.824140973593</v>
      </c>
      <c r="H31" s="15"/>
      <c r="I31" s="97"/>
      <c r="J31" s="118"/>
      <c r="K31" s="112"/>
      <c r="L31" s="100"/>
      <c r="M31" s="91"/>
      <c r="N31" s="233"/>
      <c r="O31" s="86"/>
    </row>
    <row r="32" spans="1:15" ht="15.75" thickBot="1" x14ac:dyDescent="0.3">
      <c r="A32" s="104"/>
      <c r="B32" s="63" t="s">
        <v>2</v>
      </c>
      <c r="C32" s="20">
        <v>35.412700000000001</v>
      </c>
      <c r="D32" s="20">
        <v>421.82173372492667</v>
      </c>
      <c r="E32" s="61">
        <v>10</v>
      </c>
      <c r="F32" s="77">
        <f t="shared" si="3"/>
        <v>253093.04023495599</v>
      </c>
      <c r="G32" s="5">
        <f t="shared" si="1"/>
        <v>151855.82414097359</v>
      </c>
      <c r="H32" s="17"/>
      <c r="I32" s="98"/>
      <c r="J32" s="119"/>
      <c r="K32" s="113"/>
      <c r="L32" s="101"/>
      <c r="M32" s="92"/>
      <c r="N32" s="234"/>
      <c r="O32" s="86"/>
    </row>
    <row r="33" spans="1:15" x14ac:dyDescent="0.25">
      <c r="A33" s="105" t="s">
        <v>10</v>
      </c>
      <c r="B33" s="73" t="s">
        <v>15</v>
      </c>
      <c r="C33" s="7">
        <v>15.6694</v>
      </c>
      <c r="D33" s="7">
        <v>40</v>
      </c>
      <c r="E33" s="59">
        <v>10</v>
      </c>
      <c r="F33" s="74">
        <f t="shared" si="3"/>
        <v>24000</v>
      </c>
      <c r="G33" s="3">
        <f t="shared" si="1"/>
        <v>14400</v>
      </c>
      <c r="H33" s="18"/>
      <c r="I33" s="96">
        <v>44000</v>
      </c>
      <c r="J33" s="117">
        <v>40000</v>
      </c>
      <c r="K33" s="111" t="s">
        <v>40</v>
      </c>
      <c r="L33" s="99" t="s">
        <v>41</v>
      </c>
      <c r="M33" s="90" t="s">
        <v>92</v>
      </c>
      <c r="N33" s="235" t="s">
        <v>132</v>
      </c>
      <c r="O33" s="86" t="s">
        <v>129</v>
      </c>
    </row>
    <row r="34" spans="1:15" x14ac:dyDescent="0.25">
      <c r="A34" s="106"/>
      <c r="B34" s="75" t="s">
        <v>1</v>
      </c>
      <c r="C34" s="19">
        <v>19.072800000000001</v>
      </c>
      <c r="D34" s="19">
        <v>57.5</v>
      </c>
      <c r="E34" s="60">
        <v>10</v>
      </c>
      <c r="F34" s="76">
        <f t="shared" si="3"/>
        <v>34500</v>
      </c>
      <c r="G34" s="2">
        <f t="shared" si="1"/>
        <v>20700</v>
      </c>
      <c r="H34" s="15"/>
      <c r="I34" s="97"/>
      <c r="J34" s="118"/>
      <c r="K34" s="112"/>
      <c r="L34" s="100"/>
      <c r="M34" s="91"/>
      <c r="N34" s="233"/>
      <c r="O34" s="86"/>
    </row>
    <row r="35" spans="1:15" x14ac:dyDescent="0.25">
      <c r="A35" s="106"/>
      <c r="B35" s="23" t="s">
        <v>19</v>
      </c>
      <c r="C35" s="24">
        <v>22.476199999999999</v>
      </c>
      <c r="D35" s="24">
        <v>80</v>
      </c>
      <c r="E35" s="58">
        <v>10</v>
      </c>
      <c r="F35" s="25">
        <f t="shared" si="3"/>
        <v>48000</v>
      </c>
      <c r="G35" s="2">
        <f t="shared" si="1"/>
        <v>28800</v>
      </c>
      <c r="H35" s="15"/>
      <c r="I35" s="97"/>
      <c r="J35" s="118"/>
      <c r="K35" s="112"/>
      <c r="L35" s="100"/>
      <c r="M35" s="91"/>
      <c r="N35" s="233"/>
      <c r="O35" s="86"/>
    </row>
    <row r="36" spans="1:15" x14ac:dyDescent="0.25">
      <c r="A36" s="106"/>
      <c r="B36" s="75" t="s">
        <v>7</v>
      </c>
      <c r="C36" s="19">
        <v>25.8796</v>
      </c>
      <c r="D36" s="19">
        <v>100</v>
      </c>
      <c r="E36" s="60">
        <v>10</v>
      </c>
      <c r="F36" s="76">
        <f t="shared" si="3"/>
        <v>60000</v>
      </c>
      <c r="G36" s="2">
        <f t="shared" si="1"/>
        <v>36000</v>
      </c>
      <c r="H36" s="15"/>
      <c r="I36" s="97"/>
      <c r="J36" s="118"/>
      <c r="K36" s="112"/>
      <c r="L36" s="100"/>
      <c r="M36" s="91"/>
      <c r="N36" s="233"/>
      <c r="O36" s="86"/>
    </row>
    <row r="37" spans="1:15" x14ac:dyDescent="0.25">
      <c r="A37" s="106"/>
      <c r="B37" s="75" t="s">
        <v>20</v>
      </c>
      <c r="C37" s="19">
        <v>29.283000000000001</v>
      </c>
      <c r="D37" s="19">
        <v>130</v>
      </c>
      <c r="E37" s="60">
        <v>10</v>
      </c>
      <c r="F37" s="76">
        <f t="shared" si="3"/>
        <v>78000</v>
      </c>
      <c r="G37" s="2">
        <f t="shared" si="1"/>
        <v>46800</v>
      </c>
      <c r="H37" s="15"/>
      <c r="I37" s="97"/>
      <c r="J37" s="118"/>
      <c r="K37" s="112"/>
      <c r="L37" s="100"/>
      <c r="M37" s="91"/>
      <c r="N37" s="233"/>
      <c r="O37" s="86"/>
    </row>
    <row r="38" spans="1:15" ht="15.75" thickBot="1" x14ac:dyDescent="0.3">
      <c r="A38" s="107"/>
      <c r="B38" s="63" t="s">
        <v>2</v>
      </c>
      <c r="C38" s="20">
        <v>32.686399999999999</v>
      </c>
      <c r="D38" s="20">
        <v>170</v>
      </c>
      <c r="E38" s="61">
        <v>10</v>
      </c>
      <c r="F38" s="77">
        <f t="shared" si="3"/>
        <v>102000</v>
      </c>
      <c r="G38" s="5">
        <f t="shared" si="1"/>
        <v>61200</v>
      </c>
      <c r="H38" s="17"/>
      <c r="I38" s="98"/>
      <c r="J38" s="119"/>
      <c r="K38" s="113"/>
      <c r="L38" s="101"/>
      <c r="M38" s="92"/>
      <c r="N38" s="234"/>
      <c r="O38" s="86"/>
    </row>
    <row r="39" spans="1:15" x14ac:dyDescent="0.25">
      <c r="A39" s="105" t="s">
        <v>11</v>
      </c>
      <c r="B39" s="78" t="s">
        <v>15</v>
      </c>
      <c r="C39" s="81">
        <v>17.612499999999997</v>
      </c>
      <c r="D39" s="81">
        <v>3.4416418594991431</v>
      </c>
      <c r="E39" s="79">
        <v>10</v>
      </c>
      <c r="F39" s="80">
        <f t="shared" si="3"/>
        <v>2064.985115699486</v>
      </c>
      <c r="G39" s="3">
        <f t="shared" si="1"/>
        <v>1238.9910694196915</v>
      </c>
      <c r="H39" s="18"/>
      <c r="I39" s="96" t="s">
        <v>42</v>
      </c>
      <c r="J39" s="114" t="s">
        <v>43</v>
      </c>
      <c r="K39" s="120" t="s">
        <v>44</v>
      </c>
      <c r="L39" s="99" t="s">
        <v>45</v>
      </c>
      <c r="M39" s="90" t="s">
        <v>93</v>
      </c>
      <c r="N39" s="232" t="s">
        <v>108</v>
      </c>
      <c r="O39" s="237" t="s">
        <v>139</v>
      </c>
    </row>
    <row r="40" spans="1:15" x14ac:dyDescent="0.25">
      <c r="A40" s="106"/>
      <c r="B40" s="75" t="s">
        <v>1</v>
      </c>
      <c r="C40" s="19">
        <v>23.777999999999999</v>
      </c>
      <c r="D40" s="19">
        <v>8.9827828528736759</v>
      </c>
      <c r="E40" s="60">
        <v>10</v>
      </c>
      <c r="F40" s="76">
        <f t="shared" si="3"/>
        <v>5389.6697117242056</v>
      </c>
      <c r="G40" s="2">
        <f t="shared" si="1"/>
        <v>3233.8018270345233</v>
      </c>
      <c r="H40" s="15"/>
      <c r="I40" s="97"/>
      <c r="J40" s="115"/>
      <c r="K40" s="121"/>
      <c r="L40" s="100"/>
      <c r="M40" s="91"/>
      <c r="N40" s="233"/>
      <c r="O40" s="86"/>
    </row>
    <row r="41" spans="1:15" x14ac:dyDescent="0.25">
      <c r="A41" s="106"/>
      <c r="B41" s="75" t="s">
        <v>19</v>
      </c>
      <c r="C41" s="19">
        <v>29.943499999999997</v>
      </c>
      <c r="D41" s="19">
        <v>16.282703754887415</v>
      </c>
      <c r="E41" s="60">
        <v>10</v>
      </c>
      <c r="F41" s="76">
        <f t="shared" si="3"/>
        <v>9769.6222529324477</v>
      </c>
      <c r="G41" s="2">
        <f t="shared" si="1"/>
        <v>5861.7733517594688</v>
      </c>
      <c r="H41" s="15"/>
      <c r="I41" s="97"/>
      <c r="J41" s="115"/>
      <c r="K41" s="121"/>
      <c r="L41" s="100"/>
      <c r="M41" s="91"/>
      <c r="N41" s="233"/>
      <c r="O41" s="86"/>
    </row>
    <row r="42" spans="1:15" x14ac:dyDescent="0.25">
      <c r="A42" s="106"/>
      <c r="B42" s="75" t="s">
        <v>7</v>
      </c>
      <c r="C42" s="19">
        <v>36.108999999999995</v>
      </c>
      <c r="D42" s="19">
        <v>28.46652442016115</v>
      </c>
      <c r="E42" s="60">
        <v>10</v>
      </c>
      <c r="F42" s="76">
        <f t="shared" si="3"/>
        <v>17079.91465209669</v>
      </c>
      <c r="G42" s="2">
        <f t="shared" si="1"/>
        <v>10247.948791258013</v>
      </c>
      <c r="H42" s="15"/>
      <c r="I42" s="97"/>
      <c r="J42" s="115"/>
      <c r="K42" s="121"/>
      <c r="L42" s="100"/>
      <c r="M42" s="91"/>
      <c r="N42" s="233"/>
      <c r="O42" s="86"/>
    </row>
    <row r="43" spans="1:15" x14ac:dyDescent="0.25">
      <c r="A43" s="106"/>
      <c r="B43" s="75" t="s">
        <v>20</v>
      </c>
      <c r="C43" s="19">
        <v>42.274500000000003</v>
      </c>
      <c r="D43" s="19">
        <v>47.19223215332682</v>
      </c>
      <c r="E43" s="60">
        <v>10</v>
      </c>
      <c r="F43" s="76">
        <f t="shared" si="3"/>
        <v>28315.339291996093</v>
      </c>
      <c r="G43" s="2">
        <f t="shared" si="1"/>
        <v>16989.203575197655</v>
      </c>
      <c r="H43" s="15"/>
      <c r="I43" s="97"/>
      <c r="J43" s="115"/>
      <c r="K43" s="121"/>
      <c r="L43" s="100"/>
      <c r="M43" s="91"/>
      <c r="N43" s="233"/>
      <c r="O43" s="86"/>
    </row>
    <row r="44" spans="1:15" ht="15.75" thickBot="1" x14ac:dyDescent="0.3">
      <c r="A44" s="107"/>
      <c r="B44" s="63" t="s">
        <v>2</v>
      </c>
      <c r="C44" s="20">
        <v>48.44</v>
      </c>
      <c r="D44" s="20">
        <v>68.383861297609727</v>
      </c>
      <c r="E44" s="61">
        <v>10</v>
      </c>
      <c r="F44" s="77">
        <f t="shared" si="3"/>
        <v>41030.316778565837</v>
      </c>
      <c r="G44" s="5">
        <f t="shared" si="1"/>
        <v>24618.190067139501</v>
      </c>
      <c r="H44" s="17"/>
      <c r="I44" s="98"/>
      <c r="J44" s="116"/>
      <c r="K44" s="122"/>
      <c r="L44" s="101"/>
      <c r="M44" s="92"/>
      <c r="N44" s="234"/>
      <c r="O44" s="86"/>
    </row>
    <row r="45" spans="1:15" x14ac:dyDescent="0.25">
      <c r="A45" s="102" t="s">
        <v>12</v>
      </c>
      <c r="B45" s="73" t="s">
        <v>15</v>
      </c>
      <c r="C45" s="172" t="s">
        <v>23</v>
      </c>
      <c r="D45" s="7" t="s">
        <v>23</v>
      </c>
      <c r="E45" s="59">
        <v>10</v>
      </c>
      <c r="F45" s="74" t="e">
        <f t="shared" si="3"/>
        <v>#VALUE!</v>
      </c>
      <c r="G45" s="3" t="e">
        <f t="shared" si="1"/>
        <v>#VALUE!</v>
      </c>
      <c r="H45" s="18"/>
      <c r="I45" s="96" t="s">
        <v>23</v>
      </c>
      <c r="J45" s="114" t="s">
        <v>23</v>
      </c>
      <c r="K45" s="111" t="s">
        <v>46</v>
      </c>
      <c r="L45" s="99" t="s">
        <v>47</v>
      </c>
      <c r="M45" s="90" t="s">
        <v>87</v>
      </c>
      <c r="N45" s="90" t="s">
        <v>109</v>
      </c>
      <c r="O45" s="86" t="s">
        <v>101</v>
      </c>
    </row>
    <row r="46" spans="1:15" x14ac:dyDescent="0.25">
      <c r="A46" s="103"/>
      <c r="B46" s="75" t="s">
        <v>1</v>
      </c>
      <c r="C46" s="19">
        <v>6.886000000000001</v>
      </c>
      <c r="D46" s="19">
        <v>2.5</v>
      </c>
      <c r="E46" s="60">
        <v>10</v>
      </c>
      <c r="F46" s="76">
        <f t="shared" si="3"/>
        <v>1500</v>
      </c>
      <c r="G46" s="2">
        <f t="shared" si="1"/>
        <v>900</v>
      </c>
      <c r="H46" s="15"/>
      <c r="I46" s="97"/>
      <c r="J46" s="115"/>
      <c r="K46" s="112"/>
      <c r="L46" s="100"/>
      <c r="M46" s="91"/>
      <c r="N46" s="233"/>
      <c r="O46" s="86"/>
    </row>
    <row r="47" spans="1:15" x14ac:dyDescent="0.25">
      <c r="A47" s="103"/>
      <c r="B47" s="75" t="s">
        <v>19</v>
      </c>
      <c r="C47" s="19">
        <v>14.735000000000001</v>
      </c>
      <c r="D47" s="19">
        <v>33</v>
      </c>
      <c r="E47" s="60">
        <v>10</v>
      </c>
      <c r="F47" s="76">
        <f t="shared" si="3"/>
        <v>19800</v>
      </c>
      <c r="G47" s="2">
        <f t="shared" si="1"/>
        <v>11880</v>
      </c>
      <c r="H47" s="15"/>
      <c r="I47" s="97"/>
      <c r="J47" s="115"/>
      <c r="K47" s="112"/>
      <c r="L47" s="100"/>
      <c r="M47" s="91"/>
      <c r="N47" s="233"/>
      <c r="O47" s="86"/>
    </row>
    <row r="48" spans="1:15" x14ac:dyDescent="0.25">
      <c r="A48" s="103"/>
      <c r="B48" s="75" t="s">
        <v>7</v>
      </c>
      <c r="C48" s="19">
        <v>22.584000000000003</v>
      </c>
      <c r="D48" s="19">
        <v>116</v>
      </c>
      <c r="E48" s="60">
        <v>10</v>
      </c>
      <c r="F48" s="76">
        <f t="shared" si="3"/>
        <v>69600</v>
      </c>
      <c r="G48" s="2">
        <f t="shared" si="1"/>
        <v>41760</v>
      </c>
      <c r="H48" s="15"/>
      <c r="I48" s="97"/>
      <c r="J48" s="115"/>
      <c r="K48" s="112"/>
      <c r="L48" s="100"/>
      <c r="M48" s="91"/>
      <c r="N48" s="233"/>
      <c r="O48" s="86"/>
    </row>
    <row r="49" spans="1:15" x14ac:dyDescent="0.25">
      <c r="A49" s="103"/>
      <c r="B49" s="75" t="s">
        <v>20</v>
      </c>
      <c r="C49" s="19">
        <v>30.433000000000007</v>
      </c>
      <c r="D49" s="19">
        <v>246</v>
      </c>
      <c r="E49" s="60">
        <v>10</v>
      </c>
      <c r="F49" s="76">
        <f t="shared" si="3"/>
        <v>147600</v>
      </c>
      <c r="G49" s="2">
        <f t="shared" si="1"/>
        <v>88560</v>
      </c>
      <c r="H49" s="15"/>
      <c r="I49" s="97"/>
      <c r="J49" s="115"/>
      <c r="K49" s="112"/>
      <c r="L49" s="100"/>
      <c r="M49" s="91"/>
      <c r="N49" s="233"/>
      <c r="O49" s="86"/>
    </row>
    <row r="50" spans="1:15" ht="15.75" thickBot="1" x14ac:dyDescent="0.3">
      <c r="A50" s="104"/>
      <c r="B50" s="63" t="s">
        <v>2</v>
      </c>
      <c r="C50" s="20">
        <v>38.282000000000004</v>
      </c>
      <c r="D50" s="20">
        <v>421</v>
      </c>
      <c r="E50" s="61">
        <v>10</v>
      </c>
      <c r="F50" s="77">
        <f t="shared" si="3"/>
        <v>252600</v>
      </c>
      <c r="G50" s="5">
        <f t="shared" si="1"/>
        <v>151560</v>
      </c>
      <c r="H50" s="17"/>
      <c r="I50" s="98"/>
      <c r="J50" s="116"/>
      <c r="K50" s="113"/>
      <c r="L50" s="101"/>
      <c r="M50" s="92"/>
      <c r="N50" s="234"/>
      <c r="O50" s="86"/>
    </row>
    <row r="51" spans="1:15" x14ac:dyDescent="0.25">
      <c r="A51" s="102" t="s">
        <v>13</v>
      </c>
      <c r="B51" s="73" t="s">
        <v>15</v>
      </c>
      <c r="C51" s="7">
        <v>6.8573000000000004</v>
      </c>
      <c r="D51" s="7">
        <v>0.75</v>
      </c>
      <c r="E51" s="59">
        <v>10</v>
      </c>
      <c r="F51" s="74">
        <f t="shared" si="3"/>
        <v>450</v>
      </c>
      <c r="G51" s="3">
        <f t="shared" si="1"/>
        <v>270</v>
      </c>
      <c r="H51" s="18"/>
      <c r="I51" s="96" t="s">
        <v>23</v>
      </c>
      <c r="J51" s="114" t="s">
        <v>48</v>
      </c>
      <c r="K51" s="111" t="s">
        <v>49</v>
      </c>
      <c r="L51" s="99" t="s">
        <v>50</v>
      </c>
      <c r="M51" s="90" t="s">
        <v>94</v>
      </c>
      <c r="N51" s="90" t="s">
        <v>111</v>
      </c>
      <c r="O51" s="86" t="s">
        <v>140</v>
      </c>
    </row>
    <row r="52" spans="1:15" x14ac:dyDescent="0.25">
      <c r="A52" s="103"/>
      <c r="B52" s="23" t="s">
        <v>1</v>
      </c>
      <c r="C52" s="24">
        <v>13.2028</v>
      </c>
      <c r="D52" s="24">
        <v>5.75</v>
      </c>
      <c r="E52" s="58">
        <v>10</v>
      </c>
      <c r="F52" s="25">
        <f t="shared" si="3"/>
        <v>3450</v>
      </c>
      <c r="G52" s="2">
        <f t="shared" si="1"/>
        <v>2070</v>
      </c>
      <c r="H52" s="15"/>
      <c r="I52" s="97"/>
      <c r="J52" s="115"/>
      <c r="K52" s="112"/>
      <c r="L52" s="100"/>
      <c r="M52" s="91"/>
      <c r="N52" s="233"/>
      <c r="O52" s="86"/>
    </row>
    <row r="53" spans="1:15" x14ac:dyDescent="0.25">
      <c r="A53" s="103"/>
      <c r="B53" s="75" t="s">
        <v>19</v>
      </c>
      <c r="C53" s="19">
        <v>19.548300000000001</v>
      </c>
      <c r="D53" s="19">
        <v>14.5</v>
      </c>
      <c r="E53" s="60">
        <v>10</v>
      </c>
      <c r="F53" s="76">
        <f t="shared" si="3"/>
        <v>8700</v>
      </c>
      <c r="G53" s="2">
        <f t="shared" si="1"/>
        <v>5220</v>
      </c>
      <c r="H53" s="15"/>
      <c r="I53" s="97"/>
      <c r="J53" s="115"/>
      <c r="K53" s="112"/>
      <c r="L53" s="100"/>
      <c r="M53" s="91"/>
      <c r="N53" s="233"/>
      <c r="O53" s="86"/>
    </row>
    <row r="54" spans="1:15" x14ac:dyDescent="0.25">
      <c r="A54" s="103"/>
      <c r="B54" s="75" t="s">
        <v>7</v>
      </c>
      <c r="C54" s="19">
        <v>25.893800000000002</v>
      </c>
      <c r="D54" s="19">
        <v>28.5</v>
      </c>
      <c r="E54" s="60">
        <v>10</v>
      </c>
      <c r="F54" s="76">
        <f t="shared" si="3"/>
        <v>17100</v>
      </c>
      <c r="G54" s="2">
        <f t="shared" si="1"/>
        <v>10260</v>
      </c>
      <c r="H54" s="15"/>
      <c r="I54" s="97"/>
      <c r="J54" s="115"/>
      <c r="K54" s="112"/>
      <c r="L54" s="100"/>
      <c r="M54" s="91"/>
      <c r="N54" s="233"/>
      <c r="O54" s="86"/>
    </row>
    <row r="55" spans="1:15" ht="14.25" customHeight="1" x14ac:dyDescent="0.25">
      <c r="A55" s="103"/>
      <c r="B55" s="75" t="s">
        <v>20</v>
      </c>
      <c r="C55" s="19">
        <v>32.2393</v>
      </c>
      <c r="D55" s="19">
        <v>54</v>
      </c>
      <c r="E55" s="60">
        <v>10</v>
      </c>
      <c r="F55" s="76">
        <f t="shared" si="3"/>
        <v>32400</v>
      </c>
      <c r="G55" s="2">
        <f t="shared" si="1"/>
        <v>19440</v>
      </c>
      <c r="H55" s="15"/>
      <c r="I55" s="97"/>
      <c r="J55" s="115"/>
      <c r="K55" s="112"/>
      <c r="L55" s="100"/>
      <c r="M55" s="91"/>
      <c r="N55" s="233"/>
      <c r="O55" s="86"/>
    </row>
    <row r="56" spans="1:15" ht="15.75" thickBot="1" x14ac:dyDescent="0.3">
      <c r="A56" s="104"/>
      <c r="B56" s="63" t="s">
        <v>2</v>
      </c>
      <c r="C56" s="20">
        <v>38.584800000000001</v>
      </c>
      <c r="D56" s="20">
        <v>95</v>
      </c>
      <c r="E56" s="61">
        <v>10</v>
      </c>
      <c r="F56" s="77">
        <f t="shared" si="3"/>
        <v>57000</v>
      </c>
      <c r="G56" s="5">
        <f t="shared" si="1"/>
        <v>34200</v>
      </c>
      <c r="H56" s="17"/>
      <c r="I56" s="98"/>
      <c r="J56" s="116"/>
      <c r="K56" s="113"/>
      <c r="L56" s="101"/>
      <c r="M56" s="92"/>
      <c r="N56" s="234"/>
      <c r="O56" s="87"/>
    </row>
    <row r="57" spans="1:15" x14ac:dyDescent="0.25">
      <c r="A57" t="s">
        <v>22</v>
      </c>
    </row>
  </sheetData>
  <mergeCells count="74">
    <mergeCell ref="O33:O38"/>
    <mergeCell ref="O39:O44"/>
    <mergeCell ref="O45:O50"/>
    <mergeCell ref="O51:O56"/>
    <mergeCell ref="N39:N44"/>
    <mergeCell ref="N45:N50"/>
    <mergeCell ref="N51:N56"/>
    <mergeCell ref="L51:L56"/>
    <mergeCell ref="L3:L8"/>
    <mergeCell ref="L9:L14"/>
    <mergeCell ref="L15:L20"/>
    <mergeCell ref="L21:L26"/>
    <mergeCell ref="L27:L32"/>
    <mergeCell ref="L33:L38"/>
    <mergeCell ref="L39:L44"/>
    <mergeCell ref="M33:M38"/>
    <mergeCell ref="M39:M44"/>
    <mergeCell ref="M45:M50"/>
    <mergeCell ref="M51:M56"/>
    <mergeCell ref="M27:M32"/>
    <mergeCell ref="A39:A44"/>
    <mergeCell ref="K45:K50"/>
    <mergeCell ref="A45:A50"/>
    <mergeCell ref="A51:A56"/>
    <mergeCell ref="J39:J44"/>
    <mergeCell ref="J45:J50"/>
    <mergeCell ref="J51:J56"/>
    <mergeCell ref="K51:K56"/>
    <mergeCell ref="K39:K44"/>
    <mergeCell ref="I51:I56"/>
    <mergeCell ref="A33:A38"/>
    <mergeCell ref="J3:J8"/>
    <mergeCell ref="K3:K8"/>
    <mergeCell ref="K9:K14"/>
    <mergeCell ref="J9:J14"/>
    <mergeCell ref="J15:J20"/>
    <mergeCell ref="J21:J26"/>
    <mergeCell ref="J27:J32"/>
    <mergeCell ref="J33:J38"/>
    <mergeCell ref="K27:K32"/>
    <mergeCell ref="K33:K38"/>
    <mergeCell ref="K15:K20"/>
    <mergeCell ref="K21:K26"/>
    <mergeCell ref="A3:A8"/>
    <mergeCell ref="A9:A14"/>
    <mergeCell ref="A15:A20"/>
    <mergeCell ref="A21:A26"/>
    <mergeCell ref="A27:A32"/>
    <mergeCell ref="I3:I8"/>
    <mergeCell ref="I9:I14"/>
    <mergeCell ref="I15:I20"/>
    <mergeCell ref="I21:I26"/>
    <mergeCell ref="I1:L1"/>
    <mergeCell ref="I27:I32"/>
    <mergeCell ref="I33:I38"/>
    <mergeCell ref="I39:I44"/>
    <mergeCell ref="I45:I50"/>
    <mergeCell ref="L45:L50"/>
    <mergeCell ref="N27:N32"/>
    <mergeCell ref="N33:N38"/>
    <mergeCell ref="M1:O1"/>
    <mergeCell ref="M3:M8"/>
    <mergeCell ref="M9:M14"/>
    <mergeCell ref="M15:M20"/>
    <mergeCell ref="M21:M26"/>
    <mergeCell ref="N3:N8"/>
    <mergeCell ref="N9:N14"/>
    <mergeCell ref="N15:N20"/>
    <mergeCell ref="N21:N26"/>
    <mergeCell ref="O3:O8"/>
    <mergeCell ref="O9:O14"/>
    <mergeCell ref="O15:O20"/>
    <mergeCell ref="O21:O26"/>
    <mergeCell ref="O27:O32"/>
  </mergeCells>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DCA6-15E3-40BB-BB50-14311B8D59C6}">
  <dimension ref="A1:Z41"/>
  <sheetViews>
    <sheetView tabSelected="1" workbookViewId="0">
      <pane xSplit="1" ySplit="8" topLeftCell="O21" activePane="bottomRight" state="frozen"/>
      <selection pane="topRight" activeCell="B1" sqref="B1"/>
      <selection pane="bottomLeft" activeCell="A9" sqref="A9"/>
      <selection pane="bottomRight" activeCell="Y27" sqref="Y27:Y32"/>
    </sheetView>
  </sheetViews>
  <sheetFormatPr defaultRowHeight="15" x14ac:dyDescent="0.25"/>
  <cols>
    <col min="1" max="1" width="33.42578125" customWidth="1"/>
    <col min="2" max="2" width="9.7109375" customWidth="1"/>
    <col min="3" max="3" width="9" customWidth="1"/>
    <col min="4" max="4" width="9.140625" customWidth="1"/>
    <col min="5" max="5" width="6.85546875" customWidth="1"/>
    <col min="6" max="6" width="11.7109375" customWidth="1"/>
    <col min="7" max="7" width="7.28515625" customWidth="1"/>
    <col min="8" max="8" width="8.5703125" customWidth="1"/>
    <col min="9" max="9" width="7" customWidth="1"/>
    <col min="10" max="10" width="8.28515625" customWidth="1"/>
    <col min="11" max="14" width="13.7109375" customWidth="1"/>
    <col min="15" max="16" width="13.7109375" style="13" customWidth="1"/>
    <col min="17" max="17" width="13.28515625" style="13" customWidth="1"/>
    <col min="18" max="18" width="19.42578125" style="13" customWidth="1"/>
    <col min="19" max="19" width="33.28515625" style="62" customWidth="1"/>
    <col min="20" max="23" width="9.140625" style="13"/>
    <col min="24" max="24" width="15.7109375" customWidth="1"/>
    <col min="25" max="25" width="17.5703125" customWidth="1"/>
    <col min="26" max="26" width="18.7109375" customWidth="1"/>
  </cols>
  <sheetData>
    <row r="1" spans="1:26" x14ac:dyDescent="0.25">
      <c r="A1" s="1" t="s">
        <v>51</v>
      </c>
      <c r="B1" s="1"/>
      <c r="C1" s="1">
        <v>20</v>
      </c>
      <c r="E1" s="26"/>
      <c r="F1" s="27" t="s">
        <v>52</v>
      </c>
    </row>
    <row r="2" spans="1:26" x14ac:dyDescent="0.25">
      <c r="A2" s="1" t="s">
        <v>53</v>
      </c>
      <c r="B2" s="1"/>
      <c r="C2" s="1">
        <v>250</v>
      </c>
      <c r="E2" s="28"/>
      <c r="F2" s="27" t="s">
        <v>54</v>
      </c>
    </row>
    <row r="3" spans="1:26" ht="15.75" thickBot="1" x14ac:dyDescent="0.3">
      <c r="A3" s="1" t="s">
        <v>55</v>
      </c>
      <c r="B3" s="1"/>
      <c r="C3" s="29">
        <f>C1/(C2/1000)</f>
        <v>80</v>
      </c>
      <c r="E3" s="30"/>
      <c r="F3" s="27" t="s">
        <v>56</v>
      </c>
    </row>
    <row r="4" spans="1:26" ht="15.75" thickBot="1" x14ac:dyDescent="0.3">
      <c r="A4" s="1" t="s">
        <v>57</v>
      </c>
      <c r="B4" s="31"/>
      <c r="C4" s="32">
        <v>65</v>
      </c>
    </row>
    <row r="5" spans="1:26" ht="15.75" thickBot="1" x14ac:dyDescent="0.3"/>
    <row r="6" spans="1:26" ht="15.75" thickBot="1" x14ac:dyDescent="0.3">
      <c r="B6" s="130" t="s">
        <v>85</v>
      </c>
      <c r="C6" s="130"/>
      <c r="D6" s="130"/>
      <c r="E6" s="130"/>
      <c r="F6" s="130"/>
      <c r="G6" s="130"/>
      <c r="H6" s="130"/>
      <c r="I6" s="130"/>
      <c r="J6" s="131"/>
      <c r="K6" s="124">
        <v>2020</v>
      </c>
      <c r="L6" s="125"/>
      <c r="M6" s="125"/>
      <c r="N6" s="125"/>
      <c r="O6" s="125"/>
      <c r="P6" s="126"/>
      <c r="Q6" s="124">
        <v>2021</v>
      </c>
      <c r="R6" s="125"/>
      <c r="S6" s="125"/>
      <c r="T6" s="125"/>
      <c r="U6" s="125"/>
      <c r="V6" s="125"/>
      <c r="W6" s="125"/>
      <c r="X6" s="193"/>
      <c r="Y6" s="193"/>
      <c r="Z6" s="194"/>
    </row>
    <row r="7" spans="1:26" ht="73.150000000000006" customHeight="1" x14ac:dyDescent="0.25">
      <c r="A7" s="161" t="s">
        <v>58</v>
      </c>
      <c r="B7" s="203" t="s">
        <v>59</v>
      </c>
      <c r="C7" s="204" t="s">
        <v>60</v>
      </c>
      <c r="D7" s="205"/>
      <c r="E7" s="204" t="s">
        <v>61</v>
      </c>
      <c r="F7" s="205"/>
      <c r="G7" s="163" t="s">
        <v>62</v>
      </c>
      <c r="H7" s="164"/>
      <c r="I7" s="165" t="s">
        <v>63</v>
      </c>
      <c r="J7" s="166"/>
      <c r="K7" s="156" t="s">
        <v>77</v>
      </c>
      <c r="L7" s="157"/>
      <c r="M7" s="156" t="s">
        <v>78</v>
      </c>
      <c r="N7" s="157"/>
      <c r="O7" s="167" t="s">
        <v>80</v>
      </c>
      <c r="P7" s="168"/>
      <c r="Q7" s="133" t="s">
        <v>100</v>
      </c>
      <c r="R7" s="134"/>
      <c r="T7" s="133" t="s">
        <v>103</v>
      </c>
      <c r="U7" s="134"/>
      <c r="V7" s="134" t="s">
        <v>118</v>
      </c>
      <c r="W7" s="190"/>
      <c r="X7" s="173" t="s">
        <v>123</v>
      </c>
      <c r="Y7" s="173"/>
      <c r="Z7" s="65"/>
    </row>
    <row r="8" spans="1:26" ht="15.75" thickBot="1" x14ac:dyDescent="0.3">
      <c r="A8" s="162"/>
      <c r="B8" s="206" t="s">
        <v>64</v>
      </c>
      <c r="C8" s="207" t="s">
        <v>65</v>
      </c>
      <c r="D8" s="208" t="s">
        <v>66</v>
      </c>
      <c r="E8" s="207" t="s">
        <v>67</v>
      </c>
      <c r="F8" s="208" t="s">
        <v>68</v>
      </c>
      <c r="G8" s="33" t="s">
        <v>65</v>
      </c>
      <c r="H8" s="34" t="s">
        <v>66</v>
      </c>
      <c r="I8" s="35" t="s">
        <v>65</v>
      </c>
      <c r="J8" s="36" t="s">
        <v>66</v>
      </c>
      <c r="K8" s="16" t="s">
        <v>65</v>
      </c>
      <c r="L8" s="4" t="s">
        <v>66</v>
      </c>
      <c r="M8" s="16" t="s">
        <v>65</v>
      </c>
      <c r="N8" s="4" t="s">
        <v>66</v>
      </c>
      <c r="O8" s="6" t="s">
        <v>65</v>
      </c>
      <c r="P8" s="54" t="s">
        <v>66</v>
      </c>
      <c r="Q8" s="63" t="s">
        <v>65</v>
      </c>
      <c r="R8" s="6" t="s">
        <v>66</v>
      </c>
      <c r="S8" s="64" t="s">
        <v>84</v>
      </c>
      <c r="T8" s="179" t="s">
        <v>65</v>
      </c>
      <c r="U8" s="180" t="s">
        <v>66</v>
      </c>
      <c r="V8" s="181" t="s">
        <v>102</v>
      </c>
      <c r="W8" s="191"/>
      <c r="X8" s="65" t="s">
        <v>65</v>
      </c>
      <c r="Y8" s="65" t="s">
        <v>66</v>
      </c>
      <c r="Z8" s="65" t="s">
        <v>102</v>
      </c>
    </row>
    <row r="9" spans="1:26" x14ac:dyDescent="0.25">
      <c r="A9" s="149" t="s">
        <v>72</v>
      </c>
      <c r="B9" s="209">
        <v>0.5</v>
      </c>
      <c r="C9" s="210">
        <f>(17456*B9)-3086.5</f>
        <v>5641.5</v>
      </c>
      <c r="D9" s="211">
        <f t="shared" ref="D9:D21" si="0">C9*7.48052</f>
        <v>42201.353580000003</v>
      </c>
      <c r="E9" s="210">
        <f>(2.0375*B9)+0.1468</f>
        <v>1.1655500000000001</v>
      </c>
      <c r="F9" s="211">
        <f t="shared" ref="F9:F20" si="1">E9*448.8325</f>
        <v>523.13672037499998</v>
      </c>
      <c r="G9" s="37">
        <f t="shared" ref="G9:G15" si="2">C9/$C$4</f>
        <v>86.792307692307688</v>
      </c>
      <c r="H9" s="18">
        <f t="shared" ref="H9:H21" si="3">G9*7.48052</f>
        <v>649.25159353846152</v>
      </c>
      <c r="I9" s="38">
        <f t="shared" ref="I9:I21" si="4">E9*60*5</f>
        <v>349.66500000000002</v>
      </c>
      <c r="J9" s="18">
        <f t="shared" ref="J9:J21" si="5">I9*7.48052</f>
        <v>2615.6760258000004</v>
      </c>
      <c r="K9" s="144"/>
      <c r="L9" s="141">
        <v>4000</v>
      </c>
      <c r="M9" s="144"/>
      <c r="N9" s="155" t="s">
        <v>79</v>
      </c>
      <c r="O9" s="138"/>
      <c r="P9" s="153">
        <v>5000</v>
      </c>
      <c r="Q9" s="136"/>
      <c r="R9" s="138">
        <v>10000</v>
      </c>
      <c r="S9" s="127" t="s">
        <v>96</v>
      </c>
      <c r="T9" s="182"/>
      <c r="U9" s="183" t="s">
        <v>113</v>
      </c>
      <c r="V9" s="184" t="s">
        <v>112</v>
      </c>
      <c r="W9" s="127"/>
      <c r="X9" s="195"/>
      <c r="Y9" s="174" t="s">
        <v>134</v>
      </c>
      <c r="Z9" s="198" t="s">
        <v>125</v>
      </c>
    </row>
    <row r="10" spans="1:26" x14ac:dyDescent="0.25">
      <c r="A10" s="150"/>
      <c r="B10" s="82">
        <v>1</v>
      </c>
      <c r="C10" s="83">
        <f>(17456*B10)-3086.5</f>
        <v>14369.5</v>
      </c>
      <c r="D10" s="84">
        <f t="shared" si="0"/>
        <v>107491.33214</v>
      </c>
      <c r="E10" s="83">
        <f t="shared" ref="E10:E13" si="6">(2.0375*B10)+0.1468</f>
        <v>2.1842999999999999</v>
      </c>
      <c r="F10" s="84">
        <f t="shared" si="1"/>
        <v>980.38482974999988</v>
      </c>
      <c r="G10" s="39">
        <f t="shared" si="2"/>
        <v>221.06923076923076</v>
      </c>
      <c r="H10" s="15">
        <f t="shared" si="3"/>
        <v>1653.712802153846</v>
      </c>
      <c r="I10" s="40">
        <f t="shared" si="4"/>
        <v>655.29</v>
      </c>
      <c r="J10" s="15">
        <f t="shared" si="5"/>
        <v>4901.9099507999999</v>
      </c>
      <c r="K10" s="144"/>
      <c r="L10" s="155"/>
      <c r="M10" s="144"/>
      <c r="N10" s="155"/>
      <c r="O10" s="138"/>
      <c r="P10" s="153"/>
      <c r="Q10" s="136"/>
      <c r="R10" s="148"/>
      <c r="S10" s="127"/>
      <c r="T10" s="182"/>
      <c r="U10" s="184"/>
      <c r="V10" s="184"/>
      <c r="W10" s="127"/>
      <c r="X10" s="196"/>
      <c r="Y10" s="169"/>
      <c r="Z10" s="199"/>
    </row>
    <row r="11" spans="1:26" x14ac:dyDescent="0.25">
      <c r="A11" s="150"/>
      <c r="B11" s="82">
        <v>1.5</v>
      </c>
      <c r="C11" s="83">
        <f t="shared" ref="C11:C12" si="7">(17456*B11)-3086.5</f>
        <v>23097.5</v>
      </c>
      <c r="D11" s="84">
        <f t="shared" si="0"/>
        <v>172781.3107</v>
      </c>
      <c r="E11" s="83">
        <f t="shared" si="6"/>
        <v>3.2030500000000002</v>
      </c>
      <c r="F11" s="84">
        <f t="shared" si="1"/>
        <v>1437.6329391250001</v>
      </c>
      <c r="G11" s="39">
        <f t="shared" si="2"/>
        <v>355.34615384615387</v>
      </c>
      <c r="H11" s="15">
        <f t="shared" si="3"/>
        <v>2658.1740107692312</v>
      </c>
      <c r="I11" s="40">
        <f t="shared" si="4"/>
        <v>960.91500000000008</v>
      </c>
      <c r="J11" s="15">
        <f t="shared" si="5"/>
        <v>7188.1438758000013</v>
      </c>
      <c r="K11" s="144"/>
      <c r="L11" s="155"/>
      <c r="M11" s="144"/>
      <c r="N11" s="155"/>
      <c r="O11" s="138"/>
      <c r="P11" s="153"/>
      <c r="Q11" s="136"/>
      <c r="R11" s="148"/>
      <c r="S11" s="127"/>
      <c r="T11" s="182"/>
      <c r="U11" s="184"/>
      <c r="V11" s="184"/>
      <c r="W11" s="127"/>
      <c r="X11" s="196"/>
      <c r="Y11" s="169"/>
      <c r="Z11" s="199"/>
    </row>
    <row r="12" spans="1:26" x14ac:dyDescent="0.25">
      <c r="A12" s="150"/>
      <c r="B12" s="226">
        <v>2</v>
      </c>
      <c r="C12" s="55">
        <f t="shared" si="7"/>
        <v>31825.5</v>
      </c>
      <c r="D12" s="56">
        <f t="shared" si="0"/>
        <v>238071.28926000002</v>
      </c>
      <c r="E12" s="55">
        <f t="shared" si="6"/>
        <v>4.2218</v>
      </c>
      <c r="F12" s="56">
        <f t="shared" si="1"/>
        <v>1894.8810484999999</v>
      </c>
      <c r="G12" s="55">
        <f t="shared" si="2"/>
        <v>489.62307692307695</v>
      </c>
      <c r="H12" s="56">
        <f t="shared" si="3"/>
        <v>3662.6352193846155</v>
      </c>
      <c r="I12" s="227">
        <f t="shared" si="4"/>
        <v>1266.54</v>
      </c>
      <c r="J12" s="56">
        <f t="shared" si="5"/>
        <v>9474.3778008000008</v>
      </c>
      <c r="K12" s="144"/>
      <c r="L12" s="155"/>
      <c r="M12" s="144"/>
      <c r="N12" s="155"/>
      <c r="O12" s="138"/>
      <c r="P12" s="153"/>
      <c r="Q12" s="136"/>
      <c r="R12" s="148"/>
      <c r="S12" s="127"/>
      <c r="T12" s="182"/>
      <c r="U12" s="184"/>
      <c r="V12" s="184"/>
      <c r="W12" s="127"/>
      <c r="X12" s="196"/>
      <c r="Y12" s="169"/>
      <c r="Z12" s="199"/>
    </row>
    <row r="13" spans="1:26" x14ac:dyDescent="0.25">
      <c r="A13" s="150"/>
      <c r="B13" s="82">
        <v>2.5</v>
      </c>
      <c r="C13" s="83">
        <f>(17456*B13)-3086.5</f>
        <v>40553.5</v>
      </c>
      <c r="D13" s="84">
        <f t="shared" si="0"/>
        <v>303361.26782000001</v>
      </c>
      <c r="E13" s="83">
        <f t="shared" si="6"/>
        <v>5.2405499999999998</v>
      </c>
      <c r="F13" s="84">
        <f t="shared" si="1"/>
        <v>2352.1291578749997</v>
      </c>
      <c r="G13" s="39">
        <f t="shared" si="2"/>
        <v>623.9</v>
      </c>
      <c r="H13" s="15">
        <f t="shared" si="3"/>
        <v>4667.0964279999998</v>
      </c>
      <c r="I13" s="40">
        <f t="shared" si="4"/>
        <v>1572.165</v>
      </c>
      <c r="J13" s="15">
        <f t="shared" si="5"/>
        <v>11760.611725799999</v>
      </c>
      <c r="K13" s="144"/>
      <c r="L13" s="155"/>
      <c r="M13" s="144"/>
      <c r="N13" s="155"/>
      <c r="O13" s="138"/>
      <c r="P13" s="153"/>
      <c r="Q13" s="136"/>
      <c r="R13" s="148"/>
      <c r="S13" s="127"/>
      <c r="T13" s="182"/>
      <c r="U13" s="184"/>
      <c r="V13" s="184"/>
      <c r="W13" s="127"/>
      <c r="X13" s="196"/>
      <c r="Y13" s="169"/>
      <c r="Z13" s="199"/>
    </row>
    <row r="14" spans="1:26" ht="15.75" thickBot="1" x14ac:dyDescent="0.3">
      <c r="A14" s="151"/>
      <c r="B14" s="212">
        <v>3</v>
      </c>
      <c r="C14" s="213">
        <f>(17456*B14)-3086.5</f>
        <v>49281.5</v>
      </c>
      <c r="D14" s="214">
        <f t="shared" si="0"/>
        <v>368651.24638000003</v>
      </c>
      <c r="E14" s="213">
        <f>(2.0375*B14)+0.1468</f>
        <v>6.2593000000000005</v>
      </c>
      <c r="F14" s="214">
        <f t="shared" si="1"/>
        <v>2809.3772672499999</v>
      </c>
      <c r="G14" s="44">
        <f t="shared" si="2"/>
        <v>758.17692307692312</v>
      </c>
      <c r="H14" s="17">
        <f t="shared" si="3"/>
        <v>5671.5576366153855</v>
      </c>
      <c r="I14" s="45">
        <f t="shared" si="4"/>
        <v>1877.7900000000002</v>
      </c>
      <c r="J14" s="17">
        <f t="shared" si="5"/>
        <v>14046.845650800002</v>
      </c>
      <c r="K14" s="144"/>
      <c r="L14" s="155"/>
      <c r="M14" s="144"/>
      <c r="N14" s="155"/>
      <c r="O14" s="138"/>
      <c r="P14" s="153"/>
      <c r="Q14" s="136"/>
      <c r="R14" s="148"/>
      <c r="S14" s="127"/>
      <c r="T14" s="182"/>
      <c r="U14" s="184"/>
      <c r="V14" s="184"/>
      <c r="W14" s="127"/>
      <c r="X14" s="197"/>
      <c r="Y14" s="169"/>
      <c r="Z14" s="178"/>
    </row>
    <row r="15" spans="1:26" x14ac:dyDescent="0.25">
      <c r="A15" s="149" t="s">
        <v>73</v>
      </c>
      <c r="B15" s="215">
        <v>0.5</v>
      </c>
      <c r="C15" s="216">
        <f>(98982*B15)+1856.2</f>
        <v>51347.199999999997</v>
      </c>
      <c r="D15" s="217">
        <f t="shared" si="0"/>
        <v>384103.756544</v>
      </c>
      <c r="E15" s="216">
        <f>(9.1432*B15)+4.496</f>
        <v>9.0676000000000005</v>
      </c>
      <c r="F15" s="217">
        <f t="shared" si="1"/>
        <v>4069.8335769999999</v>
      </c>
      <c r="G15" s="46">
        <f t="shared" si="2"/>
        <v>789.95692307692298</v>
      </c>
      <c r="H15" s="47">
        <f t="shared" si="3"/>
        <v>5909.2885622153844</v>
      </c>
      <c r="I15" s="48">
        <f t="shared" si="4"/>
        <v>2720.28</v>
      </c>
      <c r="J15" s="47">
        <f t="shared" si="5"/>
        <v>20349.108945600001</v>
      </c>
      <c r="K15" s="139">
        <v>4000</v>
      </c>
      <c r="L15" s="141"/>
      <c r="M15" s="139">
        <v>2500</v>
      </c>
      <c r="N15" s="141"/>
      <c r="O15" s="138">
        <v>5000</v>
      </c>
      <c r="P15" s="153"/>
      <c r="Q15" s="132">
        <v>15000</v>
      </c>
      <c r="R15" s="138"/>
      <c r="S15" s="127" t="s">
        <v>97</v>
      </c>
      <c r="T15" s="185">
        <v>2500</v>
      </c>
      <c r="U15" s="181"/>
      <c r="V15" s="186" t="s">
        <v>114</v>
      </c>
      <c r="W15" s="191"/>
      <c r="X15" s="170">
        <v>5000</v>
      </c>
      <c r="Y15" s="195"/>
      <c r="Z15" s="200" t="s">
        <v>124</v>
      </c>
    </row>
    <row r="16" spans="1:26" x14ac:dyDescent="0.25">
      <c r="A16" s="150"/>
      <c r="B16" s="82">
        <v>1</v>
      </c>
      <c r="C16" s="83">
        <f t="shared" ref="C16:C19" si="8">(98982*B16)+1856.2</f>
        <v>100838.2</v>
      </c>
      <c r="D16" s="84">
        <f t="shared" si="0"/>
        <v>754322.17186400003</v>
      </c>
      <c r="E16" s="83">
        <f t="shared" ref="E16:E19" si="9">(9.1432*B16)+4.496</f>
        <v>13.639200000000001</v>
      </c>
      <c r="F16" s="84">
        <f t="shared" si="1"/>
        <v>6121.7162340000004</v>
      </c>
      <c r="G16" s="39">
        <f>C16/$C$4</f>
        <v>1551.3569230769231</v>
      </c>
      <c r="H16" s="15">
        <f t="shared" si="3"/>
        <v>11604.956490215385</v>
      </c>
      <c r="I16" s="40">
        <f>E16*60*5</f>
        <v>4091.76</v>
      </c>
      <c r="J16" s="15">
        <f t="shared" si="5"/>
        <v>30608.492515200003</v>
      </c>
      <c r="K16" s="139"/>
      <c r="L16" s="141"/>
      <c r="M16" s="139"/>
      <c r="N16" s="141"/>
      <c r="O16" s="138"/>
      <c r="P16" s="153"/>
      <c r="Q16" s="97"/>
      <c r="R16" s="138"/>
      <c r="S16" s="127"/>
      <c r="T16" s="187"/>
      <c r="U16" s="181"/>
      <c r="V16" s="181"/>
      <c r="W16" s="191"/>
      <c r="X16" s="169"/>
      <c r="Y16" s="196"/>
      <c r="Z16" s="201"/>
    </row>
    <row r="17" spans="1:26" x14ac:dyDescent="0.25">
      <c r="A17" s="150"/>
      <c r="B17" s="226">
        <v>1.5</v>
      </c>
      <c r="C17" s="55">
        <f t="shared" si="8"/>
        <v>150329.20000000001</v>
      </c>
      <c r="D17" s="56">
        <f t="shared" si="0"/>
        <v>1124540.5871840001</v>
      </c>
      <c r="E17" s="55">
        <f t="shared" si="9"/>
        <v>18.210799999999999</v>
      </c>
      <c r="F17" s="56">
        <f t="shared" si="1"/>
        <v>8173.5988909999996</v>
      </c>
      <c r="G17" s="55">
        <f t="shared" ref="G17:G19" si="10">C17/$C$4</f>
        <v>2312.7569230769232</v>
      </c>
      <c r="H17" s="56">
        <f t="shared" si="3"/>
        <v>17300.624418215386</v>
      </c>
      <c r="I17" s="227">
        <f t="shared" si="4"/>
        <v>5463.24</v>
      </c>
      <c r="J17" s="56">
        <f t="shared" si="5"/>
        <v>40867.876084800002</v>
      </c>
      <c r="K17" s="139"/>
      <c r="L17" s="141"/>
      <c r="M17" s="139"/>
      <c r="N17" s="141"/>
      <c r="O17" s="138"/>
      <c r="P17" s="153"/>
      <c r="Q17" s="97"/>
      <c r="R17" s="138"/>
      <c r="S17" s="127"/>
      <c r="T17" s="187"/>
      <c r="U17" s="181"/>
      <c r="V17" s="181"/>
      <c r="W17" s="191"/>
      <c r="X17" s="169"/>
      <c r="Y17" s="196"/>
      <c r="Z17" s="201"/>
    </row>
    <row r="18" spans="1:26" x14ac:dyDescent="0.25">
      <c r="A18" s="150"/>
      <c r="B18" s="82">
        <v>2</v>
      </c>
      <c r="C18" s="83">
        <f t="shared" si="8"/>
        <v>199820.2</v>
      </c>
      <c r="D18" s="84">
        <f t="shared" si="0"/>
        <v>1494759.0025040002</v>
      </c>
      <c r="E18" s="83">
        <f t="shared" si="9"/>
        <v>22.782400000000003</v>
      </c>
      <c r="F18" s="84">
        <f t="shared" si="1"/>
        <v>10225.481548000002</v>
      </c>
      <c r="G18" s="39">
        <f t="shared" si="10"/>
        <v>3074.1569230769232</v>
      </c>
      <c r="H18" s="15">
        <f t="shared" si="3"/>
        <v>22996.292346215389</v>
      </c>
      <c r="I18" s="40">
        <f t="shared" si="4"/>
        <v>6834.7200000000012</v>
      </c>
      <c r="J18" s="15">
        <f t="shared" si="5"/>
        <v>51127.259654400012</v>
      </c>
      <c r="K18" s="139"/>
      <c r="L18" s="141"/>
      <c r="M18" s="139"/>
      <c r="N18" s="141"/>
      <c r="O18" s="138"/>
      <c r="P18" s="153"/>
      <c r="Q18" s="97"/>
      <c r="R18" s="138"/>
      <c r="S18" s="127"/>
      <c r="T18" s="187"/>
      <c r="U18" s="181"/>
      <c r="V18" s="181"/>
      <c r="W18" s="191"/>
      <c r="X18" s="169"/>
      <c r="Y18" s="196"/>
      <c r="Z18" s="201"/>
    </row>
    <row r="19" spans="1:26" x14ac:dyDescent="0.25">
      <c r="A19" s="150"/>
      <c r="B19" s="82">
        <v>2.5</v>
      </c>
      <c r="C19" s="83">
        <f t="shared" si="8"/>
        <v>249311.2</v>
      </c>
      <c r="D19" s="84">
        <f t="shared" si="0"/>
        <v>1864977.4178240001</v>
      </c>
      <c r="E19" s="83">
        <f t="shared" si="9"/>
        <v>27.353999999999999</v>
      </c>
      <c r="F19" s="84">
        <f t="shared" si="1"/>
        <v>12277.364205</v>
      </c>
      <c r="G19" s="39">
        <f t="shared" si="10"/>
        <v>3835.5569230769233</v>
      </c>
      <c r="H19" s="15">
        <f t="shared" si="3"/>
        <v>28691.960274215387</v>
      </c>
      <c r="I19" s="40">
        <f t="shared" si="4"/>
        <v>8206.2000000000007</v>
      </c>
      <c r="J19" s="15">
        <f t="shared" si="5"/>
        <v>61386.643224000007</v>
      </c>
      <c r="K19" s="139"/>
      <c r="L19" s="141"/>
      <c r="M19" s="139"/>
      <c r="N19" s="141"/>
      <c r="O19" s="138"/>
      <c r="P19" s="153"/>
      <c r="Q19" s="97"/>
      <c r="R19" s="138"/>
      <c r="S19" s="127"/>
      <c r="T19" s="187"/>
      <c r="U19" s="181"/>
      <c r="V19" s="181"/>
      <c r="W19" s="191"/>
      <c r="X19" s="169"/>
      <c r="Y19" s="196"/>
      <c r="Z19" s="201"/>
    </row>
    <row r="20" spans="1:26" ht="15.75" thickBot="1" x14ac:dyDescent="0.3">
      <c r="A20" s="151"/>
      <c r="B20" s="212">
        <v>3</v>
      </c>
      <c r="C20" s="213">
        <f>(98982*B20)+1856.2</f>
        <v>298802.2</v>
      </c>
      <c r="D20" s="214">
        <f t="shared" si="0"/>
        <v>2235195.8331440003</v>
      </c>
      <c r="E20" s="213">
        <f>(9.1432*B20)+4.496</f>
        <v>31.925600000000003</v>
      </c>
      <c r="F20" s="214">
        <f t="shared" si="1"/>
        <v>14329.246862</v>
      </c>
      <c r="G20" s="44">
        <f>C20/$C$4</f>
        <v>4596.956923076923</v>
      </c>
      <c r="H20" s="17">
        <f t="shared" si="3"/>
        <v>34387.628202215383</v>
      </c>
      <c r="I20" s="45">
        <f t="shared" si="4"/>
        <v>9577.68</v>
      </c>
      <c r="J20" s="17">
        <f t="shared" si="5"/>
        <v>71646.026793600002</v>
      </c>
      <c r="K20" s="140"/>
      <c r="L20" s="142"/>
      <c r="M20" s="140"/>
      <c r="N20" s="142"/>
      <c r="O20" s="152"/>
      <c r="P20" s="154"/>
      <c r="Q20" s="98"/>
      <c r="R20" s="152"/>
      <c r="S20" s="127"/>
      <c r="T20" s="187"/>
      <c r="U20" s="181"/>
      <c r="V20" s="181"/>
      <c r="W20" s="191"/>
      <c r="X20" s="169"/>
      <c r="Y20" s="197"/>
      <c r="Z20" s="202"/>
    </row>
    <row r="21" spans="1:26" x14ac:dyDescent="0.25">
      <c r="A21" s="102" t="s">
        <v>70</v>
      </c>
      <c r="B21" s="218">
        <v>0.5</v>
      </c>
      <c r="C21" s="210">
        <f>(15743*B21)+689.72</f>
        <v>8561.2199999999993</v>
      </c>
      <c r="D21" s="211">
        <f t="shared" si="0"/>
        <v>64042.377434399998</v>
      </c>
      <c r="E21" s="210">
        <f>(5.2437*B21)-0.3145</f>
        <v>2.3073499999999996</v>
      </c>
      <c r="F21" s="211">
        <f t="shared" ref="F21:F38" si="11">E21*448.8325</f>
        <v>1035.6136688749998</v>
      </c>
      <c r="G21" s="37">
        <f>C21/$C$4</f>
        <v>131.71107692307692</v>
      </c>
      <c r="H21" s="18">
        <f t="shared" si="3"/>
        <v>985.26734514461532</v>
      </c>
      <c r="I21" s="38">
        <f t="shared" si="4"/>
        <v>692.20499999999993</v>
      </c>
      <c r="J21" s="18">
        <f t="shared" si="5"/>
        <v>5178.0533465999997</v>
      </c>
      <c r="K21" s="144"/>
      <c r="L21" s="146" t="s">
        <v>81</v>
      </c>
      <c r="M21" s="144"/>
      <c r="N21" s="155" t="s">
        <v>48</v>
      </c>
      <c r="O21" s="148"/>
      <c r="P21" s="153" t="s">
        <v>122</v>
      </c>
      <c r="Q21" s="136"/>
      <c r="R21" s="138">
        <v>20000</v>
      </c>
      <c r="S21" s="127" t="s">
        <v>99</v>
      </c>
      <c r="T21" s="182"/>
      <c r="U21" s="183" t="s">
        <v>116</v>
      </c>
      <c r="V21" s="184" t="s">
        <v>117</v>
      </c>
      <c r="W21" s="127"/>
      <c r="X21" s="195"/>
      <c r="Y21" s="175" t="s">
        <v>142</v>
      </c>
      <c r="Z21" s="198" t="s">
        <v>126</v>
      </c>
    </row>
    <row r="22" spans="1:26" x14ac:dyDescent="0.25">
      <c r="A22" s="103"/>
      <c r="B22" s="57">
        <v>1</v>
      </c>
      <c r="C22" s="55">
        <f t="shared" ref="C22:C25" si="12">(15743*B22)+689.72</f>
        <v>16432.72</v>
      </c>
      <c r="D22" s="56">
        <f t="shared" ref="D22:D38" si="13">C22*7.48052</f>
        <v>122925.29061440002</v>
      </c>
      <c r="E22" s="55">
        <f>(5.2437*B22)-0.3145</f>
        <v>4.9291999999999998</v>
      </c>
      <c r="F22" s="56">
        <f t="shared" si="11"/>
        <v>2212.3851589999999</v>
      </c>
      <c r="G22" s="55">
        <f t="shared" ref="G22:G26" si="14">C22/$C$4</f>
        <v>252.81107692307694</v>
      </c>
      <c r="H22" s="56">
        <f t="shared" ref="H22:H38" si="15">G22*7.48052</f>
        <v>1891.1583171446155</v>
      </c>
      <c r="I22" s="227">
        <f t="shared" ref="I22:I26" si="16">E22*60*5</f>
        <v>1478.76</v>
      </c>
      <c r="J22" s="56">
        <f t="shared" ref="J22:J38" si="17">I22*7.48052</f>
        <v>11061.893755200001</v>
      </c>
      <c r="K22" s="144"/>
      <c r="L22" s="147"/>
      <c r="M22" s="144"/>
      <c r="N22" s="155"/>
      <c r="O22" s="148"/>
      <c r="P22" s="153"/>
      <c r="Q22" s="136"/>
      <c r="R22" s="148"/>
      <c r="S22" s="127"/>
      <c r="T22" s="182"/>
      <c r="U22" s="184"/>
      <c r="V22" s="184"/>
      <c r="W22" s="127"/>
      <c r="X22" s="196"/>
      <c r="Y22" s="173"/>
      <c r="Z22" s="199"/>
    </row>
    <row r="23" spans="1:26" x14ac:dyDescent="0.25">
      <c r="A23" s="103"/>
      <c r="B23" s="85">
        <v>1.5</v>
      </c>
      <c r="C23" s="83">
        <f t="shared" si="12"/>
        <v>24304.22</v>
      </c>
      <c r="D23" s="84">
        <f t="shared" si="13"/>
        <v>181808.2037944</v>
      </c>
      <c r="E23" s="83">
        <f t="shared" ref="E23:E25" si="18">(5.2437*B23)-0.3145</f>
        <v>7.5510499999999992</v>
      </c>
      <c r="F23" s="84">
        <f t="shared" si="11"/>
        <v>3389.1566491249996</v>
      </c>
      <c r="G23" s="39">
        <f t="shared" si="14"/>
        <v>373.91107692307696</v>
      </c>
      <c r="H23" s="15">
        <f t="shared" si="15"/>
        <v>2797.0492891446156</v>
      </c>
      <c r="I23" s="40">
        <f t="shared" si="16"/>
        <v>2265.3149999999996</v>
      </c>
      <c r="J23" s="15">
        <f t="shared" si="17"/>
        <v>16945.734163799996</v>
      </c>
      <c r="K23" s="144"/>
      <c r="L23" s="147"/>
      <c r="M23" s="144"/>
      <c r="N23" s="155"/>
      <c r="O23" s="148"/>
      <c r="P23" s="153"/>
      <c r="Q23" s="136"/>
      <c r="R23" s="148"/>
      <c r="S23" s="127"/>
      <c r="T23" s="182"/>
      <c r="U23" s="184"/>
      <c r="V23" s="184"/>
      <c r="W23" s="127"/>
      <c r="X23" s="196"/>
      <c r="Y23" s="173"/>
      <c r="Z23" s="199"/>
    </row>
    <row r="24" spans="1:26" x14ac:dyDescent="0.25">
      <c r="A24" s="103"/>
      <c r="B24" s="85">
        <v>2</v>
      </c>
      <c r="C24" s="83">
        <f t="shared" si="12"/>
        <v>32175.72</v>
      </c>
      <c r="D24" s="84">
        <f t="shared" si="13"/>
        <v>240691.11697440001</v>
      </c>
      <c r="E24" s="83">
        <f t="shared" si="18"/>
        <v>10.172899999999998</v>
      </c>
      <c r="F24" s="84">
        <f t="shared" si="11"/>
        <v>4565.9281392499988</v>
      </c>
      <c r="G24" s="39">
        <f t="shared" si="14"/>
        <v>495.01107692307693</v>
      </c>
      <c r="H24" s="15">
        <f t="shared" si="15"/>
        <v>3702.9402611446158</v>
      </c>
      <c r="I24" s="40">
        <f t="shared" si="16"/>
        <v>3051.8699999999994</v>
      </c>
      <c r="J24" s="15">
        <f t="shared" si="17"/>
        <v>22829.574572399997</v>
      </c>
      <c r="K24" s="144"/>
      <c r="L24" s="147"/>
      <c r="M24" s="144"/>
      <c r="N24" s="155"/>
      <c r="O24" s="148"/>
      <c r="P24" s="153"/>
      <c r="Q24" s="136"/>
      <c r="R24" s="148"/>
      <c r="S24" s="127"/>
      <c r="T24" s="182"/>
      <c r="U24" s="184"/>
      <c r="V24" s="184"/>
      <c r="W24" s="127"/>
      <c r="X24" s="196"/>
      <c r="Y24" s="173"/>
      <c r="Z24" s="199"/>
    </row>
    <row r="25" spans="1:26" x14ac:dyDescent="0.25">
      <c r="A25" s="103"/>
      <c r="B25" s="85">
        <v>2.5</v>
      </c>
      <c r="C25" s="83">
        <f t="shared" si="12"/>
        <v>40047.22</v>
      </c>
      <c r="D25" s="84">
        <f t="shared" si="13"/>
        <v>299574.03015440004</v>
      </c>
      <c r="E25" s="83">
        <f t="shared" si="18"/>
        <v>12.794749999999999</v>
      </c>
      <c r="F25" s="84">
        <f t="shared" si="11"/>
        <v>5742.6996293749989</v>
      </c>
      <c r="G25" s="39">
        <f t="shared" si="14"/>
        <v>616.11107692307689</v>
      </c>
      <c r="H25" s="15">
        <f t="shared" si="15"/>
        <v>4608.831233144615</v>
      </c>
      <c r="I25" s="40">
        <f t="shared" si="16"/>
        <v>3838.4249999999997</v>
      </c>
      <c r="J25" s="15">
        <f t="shared" si="17"/>
        <v>28713.414980999998</v>
      </c>
      <c r="K25" s="144"/>
      <c r="L25" s="147"/>
      <c r="M25" s="144"/>
      <c r="N25" s="155"/>
      <c r="O25" s="148"/>
      <c r="P25" s="153"/>
      <c r="Q25" s="136"/>
      <c r="R25" s="148"/>
      <c r="S25" s="127"/>
      <c r="T25" s="182"/>
      <c r="U25" s="184"/>
      <c r="V25" s="184"/>
      <c r="W25" s="127"/>
      <c r="X25" s="196"/>
      <c r="Y25" s="173"/>
      <c r="Z25" s="199"/>
    </row>
    <row r="26" spans="1:26" ht="75" customHeight="1" thickBot="1" x14ac:dyDescent="0.3">
      <c r="A26" s="104"/>
      <c r="B26" s="219">
        <v>3</v>
      </c>
      <c r="C26" s="213">
        <f>(15743*B26)+689.72</f>
        <v>47918.720000000001</v>
      </c>
      <c r="D26" s="214">
        <f t="shared" si="13"/>
        <v>358456.94333440001</v>
      </c>
      <c r="E26" s="213">
        <f>(5.2437*B26)-0.3145</f>
        <v>15.416599999999997</v>
      </c>
      <c r="F26" s="214">
        <f t="shared" si="11"/>
        <v>6919.4711194999982</v>
      </c>
      <c r="G26" s="44">
        <f t="shared" si="14"/>
        <v>737.21107692307692</v>
      </c>
      <c r="H26" s="17">
        <f t="shared" si="15"/>
        <v>5514.7222051446151</v>
      </c>
      <c r="I26" s="45">
        <f t="shared" si="16"/>
        <v>4624.9799999999996</v>
      </c>
      <c r="J26" s="17">
        <f t="shared" si="17"/>
        <v>34597.255389599995</v>
      </c>
      <c r="K26" s="144"/>
      <c r="L26" s="147"/>
      <c r="M26" s="144"/>
      <c r="N26" s="155"/>
      <c r="O26" s="148"/>
      <c r="P26" s="153"/>
      <c r="Q26" s="136"/>
      <c r="R26" s="148"/>
      <c r="S26" s="127"/>
      <c r="T26" s="182"/>
      <c r="U26" s="184"/>
      <c r="V26" s="184"/>
      <c r="W26" s="127"/>
      <c r="X26" s="197"/>
      <c r="Y26" s="173"/>
      <c r="Z26" s="178"/>
    </row>
    <row r="27" spans="1:26" x14ac:dyDescent="0.25">
      <c r="A27" s="102" t="s">
        <v>69</v>
      </c>
      <c r="B27" s="218">
        <v>0.5</v>
      </c>
      <c r="C27" s="210">
        <f>(14492*B27)-929.06</f>
        <v>6316.9400000000005</v>
      </c>
      <c r="D27" s="211">
        <f>C27*7.48052</f>
        <v>47253.996008800008</v>
      </c>
      <c r="E27" s="210">
        <f>(3.6074*B27)-0.2369</f>
        <v>1.5668000000000002</v>
      </c>
      <c r="F27" s="211">
        <f t="shared" ref="F27:F32" si="19">E27*448.8325</f>
        <v>703.23076100000003</v>
      </c>
      <c r="G27" s="37">
        <f>C27/$C$4</f>
        <v>97.183692307692311</v>
      </c>
      <c r="H27" s="18">
        <f>G27*7.48052</f>
        <v>726.98455398153851</v>
      </c>
      <c r="I27" s="38">
        <f>E27*60*5</f>
        <v>470.04000000000008</v>
      </c>
      <c r="J27" s="18">
        <f>I27*7.48052</f>
        <v>3516.1436208000009</v>
      </c>
      <c r="K27" s="143"/>
      <c r="L27" s="145" t="s">
        <v>82</v>
      </c>
      <c r="M27" s="143"/>
      <c r="N27" s="160">
        <v>3000</v>
      </c>
      <c r="O27" s="158"/>
      <c r="P27" s="159">
        <v>4000</v>
      </c>
      <c r="Q27" s="135"/>
      <c r="R27" s="137">
        <v>3000</v>
      </c>
      <c r="S27" s="128" t="s">
        <v>95</v>
      </c>
      <c r="T27" s="182"/>
      <c r="U27" s="183" t="s">
        <v>120</v>
      </c>
      <c r="V27" s="184" t="s">
        <v>119</v>
      </c>
      <c r="W27" s="127"/>
      <c r="X27" s="195"/>
      <c r="Y27" s="176" t="s">
        <v>133</v>
      </c>
      <c r="Z27" s="198" t="s">
        <v>127</v>
      </c>
    </row>
    <row r="28" spans="1:26" x14ac:dyDescent="0.25">
      <c r="A28" s="103"/>
      <c r="B28" s="85">
        <v>1</v>
      </c>
      <c r="C28" s="83">
        <f>(14492*B28)-929.06</f>
        <v>13562.94</v>
      </c>
      <c r="D28" s="84">
        <f t="shared" ref="D28:D31" si="20">C28*7.48052</f>
        <v>101457.84392880001</v>
      </c>
      <c r="E28" s="83">
        <f t="shared" ref="E28:E32" si="21">(3.6074*B28)-0.2369</f>
        <v>3.3705000000000003</v>
      </c>
      <c r="F28" s="84">
        <f t="shared" si="19"/>
        <v>1512.7899412500001</v>
      </c>
      <c r="G28" s="39">
        <f t="shared" ref="G28:G32" si="22">C28/$C$4</f>
        <v>208.6606153846154</v>
      </c>
      <c r="H28" s="15">
        <f t="shared" ref="H28:H32" si="23">G28*7.48052</f>
        <v>1560.8899065969233</v>
      </c>
      <c r="I28" s="40">
        <f t="shared" ref="I28:I32" si="24">E28*60*5</f>
        <v>1011.1500000000001</v>
      </c>
      <c r="J28" s="15">
        <f t="shared" ref="J28:J32" si="25">I28*7.48052</f>
        <v>7563.9277980000006</v>
      </c>
      <c r="K28" s="144"/>
      <c r="L28" s="146"/>
      <c r="M28" s="144"/>
      <c r="N28" s="141"/>
      <c r="O28" s="148"/>
      <c r="P28" s="153"/>
      <c r="Q28" s="136"/>
      <c r="R28" s="138"/>
      <c r="S28" s="129"/>
      <c r="T28" s="182"/>
      <c r="U28" s="184"/>
      <c r="V28" s="184"/>
      <c r="W28" s="127"/>
      <c r="X28" s="196"/>
      <c r="Y28" s="177"/>
      <c r="Z28" s="199"/>
    </row>
    <row r="29" spans="1:26" x14ac:dyDescent="0.25">
      <c r="A29" s="103"/>
      <c r="B29" s="85">
        <v>1.5</v>
      </c>
      <c r="C29" s="83">
        <f t="shared" ref="C29:C31" si="26">(14492*B29)-929.06</f>
        <v>20808.939999999999</v>
      </c>
      <c r="D29" s="84">
        <f t="shared" si="20"/>
        <v>155661.69184879999</v>
      </c>
      <c r="E29" s="83">
        <f t="shared" si="21"/>
        <v>5.1741999999999999</v>
      </c>
      <c r="F29" s="84">
        <f t="shared" si="19"/>
        <v>2322.3491214999999</v>
      </c>
      <c r="G29" s="39">
        <f t="shared" si="22"/>
        <v>320.13753846153844</v>
      </c>
      <c r="H29" s="15">
        <f t="shared" si="23"/>
        <v>2394.7952592123074</v>
      </c>
      <c r="I29" s="40">
        <f t="shared" si="24"/>
        <v>1552.26</v>
      </c>
      <c r="J29" s="15">
        <f t="shared" si="25"/>
        <v>11611.7119752</v>
      </c>
      <c r="K29" s="144"/>
      <c r="L29" s="146"/>
      <c r="M29" s="144"/>
      <c r="N29" s="141"/>
      <c r="O29" s="148"/>
      <c r="P29" s="153"/>
      <c r="Q29" s="136"/>
      <c r="R29" s="138"/>
      <c r="S29" s="129"/>
      <c r="T29" s="182"/>
      <c r="U29" s="184"/>
      <c r="V29" s="184"/>
      <c r="W29" s="127"/>
      <c r="X29" s="196"/>
      <c r="Y29" s="177"/>
      <c r="Z29" s="199"/>
    </row>
    <row r="30" spans="1:26" x14ac:dyDescent="0.25">
      <c r="A30" s="103"/>
      <c r="B30" s="85">
        <v>2</v>
      </c>
      <c r="C30" s="83">
        <f t="shared" si="26"/>
        <v>28054.94</v>
      </c>
      <c r="D30" s="84">
        <f t="shared" si="20"/>
        <v>209865.53976879999</v>
      </c>
      <c r="E30" s="83">
        <f t="shared" si="21"/>
        <v>6.9779</v>
      </c>
      <c r="F30" s="84">
        <f t="shared" si="19"/>
        <v>3131.9083017499997</v>
      </c>
      <c r="G30" s="39">
        <f t="shared" si="22"/>
        <v>431.61446153846151</v>
      </c>
      <c r="H30" s="15">
        <f t="shared" si="23"/>
        <v>3228.7006118276922</v>
      </c>
      <c r="I30" s="40">
        <f t="shared" si="24"/>
        <v>2093.37</v>
      </c>
      <c r="J30" s="15">
        <f t="shared" si="25"/>
        <v>15659.496152399999</v>
      </c>
      <c r="K30" s="144"/>
      <c r="L30" s="146"/>
      <c r="M30" s="144"/>
      <c r="N30" s="141"/>
      <c r="O30" s="148"/>
      <c r="P30" s="153"/>
      <c r="Q30" s="136"/>
      <c r="R30" s="138"/>
      <c r="S30" s="129"/>
      <c r="T30" s="182"/>
      <c r="U30" s="184"/>
      <c r="V30" s="184"/>
      <c r="W30" s="127"/>
      <c r="X30" s="196"/>
      <c r="Y30" s="177"/>
      <c r="Z30" s="199"/>
    </row>
    <row r="31" spans="1:26" x14ac:dyDescent="0.25">
      <c r="A31" s="103"/>
      <c r="B31" s="85">
        <v>2.5</v>
      </c>
      <c r="C31" s="83">
        <f t="shared" si="26"/>
        <v>35300.94</v>
      </c>
      <c r="D31" s="84">
        <f t="shared" si="20"/>
        <v>264069.38768880005</v>
      </c>
      <c r="E31" s="83">
        <f t="shared" si="21"/>
        <v>8.7815999999999992</v>
      </c>
      <c r="F31" s="84">
        <f t="shared" si="19"/>
        <v>3941.4674819999996</v>
      </c>
      <c r="G31" s="39">
        <f t="shared" si="22"/>
        <v>543.09138461538464</v>
      </c>
      <c r="H31" s="15">
        <f t="shared" si="23"/>
        <v>4062.6059644430775</v>
      </c>
      <c r="I31" s="40">
        <f t="shared" si="24"/>
        <v>2634.4799999999996</v>
      </c>
      <c r="J31" s="15">
        <f t="shared" si="25"/>
        <v>19707.280329599998</v>
      </c>
      <c r="K31" s="144"/>
      <c r="L31" s="146"/>
      <c r="M31" s="144"/>
      <c r="N31" s="141"/>
      <c r="O31" s="148"/>
      <c r="P31" s="153"/>
      <c r="Q31" s="136"/>
      <c r="R31" s="138"/>
      <c r="S31" s="129"/>
      <c r="T31" s="182"/>
      <c r="U31" s="184"/>
      <c r="V31" s="184"/>
      <c r="W31" s="127"/>
      <c r="X31" s="196"/>
      <c r="Y31" s="177"/>
      <c r="Z31" s="199"/>
    </row>
    <row r="32" spans="1:26" ht="44.25" customHeight="1" thickBot="1" x14ac:dyDescent="0.3">
      <c r="A32" s="104"/>
      <c r="B32" s="220">
        <v>3</v>
      </c>
      <c r="C32" s="221">
        <f>(14492*B32)-929.06</f>
        <v>42546.94</v>
      </c>
      <c r="D32" s="222">
        <f>C32*7.48052</f>
        <v>318273.23560880002</v>
      </c>
      <c r="E32" s="221">
        <f t="shared" si="21"/>
        <v>10.5853</v>
      </c>
      <c r="F32" s="222">
        <f t="shared" si="19"/>
        <v>4751.0266622500003</v>
      </c>
      <c r="G32" s="41">
        <f t="shared" si="22"/>
        <v>654.56830769230771</v>
      </c>
      <c r="H32" s="42">
        <f t="shared" si="23"/>
        <v>4896.5113170584618</v>
      </c>
      <c r="I32" s="43">
        <f t="shared" si="24"/>
        <v>3175.59</v>
      </c>
      <c r="J32" s="42">
        <f t="shared" si="25"/>
        <v>23755.064506800001</v>
      </c>
      <c r="K32" s="144"/>
      <c r="L32" s="146"/>
      <c r="M32" s="144"/>
      <c r="N32" s="141"/>
      <c r="O32" s="148"/>
      <c r="P32" s="153"/>
      <c r="Q32" s="136"/>
      <c r="R32" s="138"/>
      <c r="S32" s="129"/>
      <c r="T32" s="182"/>
      <c r="U32" s="184"/>
      <c r="V32" s="184"/>
      <c r="W32" s="127"/>
      <c r="X32" s="197"/>
      <c r="Y32" s="177"/>
      <c r="Z32" s="178"/>
    </row>
    <row r="33" spans="1:26" x14ac:dyDescent="0.25">
      <c r="A33" s="149" t="s">
        <v>71</v>
      </c>
      <c r="B33" s="223">
        <v>0.5</v>
      </c>
      <c r="C33" s="216">
        <f>(190228*B33)-13695</f>
        <v>81419</v>
      </c>
      <c r="D33" s="217">
        <f t="shared" si="13"/>
        <v>609056.45788</v>
      </c>
      <c r="E33" s="216">
        <f>(9.7764*B33)+1.2756</f>
        <v>6.1638000000000002</v>
      </c>
      <c r="F33" s="217">
        <f t="shared" si="11"/>
        <v>2766.5137635000001</v>
      </c>
      <c r="G33" s="46">
        <f>C33/$C$4</f>
        <v>1252.5999999999999</v>
      </c>
      <c r="H33" s="47">
        <f t="shared" si="15"/>
        <v>9370.0993519999993</v>
      </c>
      <c r="I33" s="48">
        <f>E33*60*5</f>
        <v>1849.14</v>
      </c>
      <c r="J33" s="47">
        <f t="shared" si="17"/>
        <v>13832.528752800001</v>
      </c>
      <c r="K33" s="144"/>
      <c r="L33" s="141">
        <v>24000</v>
      </c>
      <c r="M33" s="144"/>
      <c r="N33" s="155" t="s">
        <v>83</v>
      </c>
      <c r="O33" s="138"/>
      <c r="P33" s="153">
        <v>30000</v>
      </c>
      <c r="Q33" s="136"/>
      <c r="R33" s="138">
        <v>80000</v>
      </c>
      <c r="S33" s="127" t="s">
        <v>98</v>
      </c>
      <c r="T33" s="182"/>
      <c r="U33" s="184" t="s">
        <v>104</v>
      </c>
      <c r="V33" s="184" t="s">
        <v>121</v>
      </c>
      <c r="W33" s="127"/>
      <c r="X33" s="195"/>
      <c r="Y33" s="175">
        <v>70000</v>
      </c>
      <c r="Z33" s="198" t="s">
        <v>128</v>
      </c>
    </row>
    <row r="34" spans="1:26" x14ac:dyDescent="0.25">
      <c r="A34" s="150"/>
      <c r="B34" s="85">
        <v>1</v>
      </c>
      <c r="C34" s="216">
        <f t="shared" ref="C34:C38" si="27">(190228*B34)-13695</f>
        <v>176533</v>
      </c>
      <c r="D34" s="217">
        <f t="shared" si="13"/>
        <v>1320558.6371600002</v>
      </c>
      <c r="E34" s="216">
        <f t="shared" ref="E34:E38" si="28">(9.7764*B34)+1.2756</f>
        <v>11.052000000000001</v>
      </c>
      <c r="F34" s="217">
        <f t="shared" si="11"/>
        <v>4960.4967900000001</v>
      </c>
      <c r="G34" s="46">
        <f t="shared" ref="G34:G38" si="29">C34/$C$4</f>
        <v>2715.8923076923079</v>
      </c>
      <c r="H34" s="47">
        <f t="shared" si="15"/>
        <v>20316.286725538463</v>
      </c>
      <c r="I34" s="48">
        <f t="shared" ref="I34:I38" si="30">E34*60*5</f>
        <v>3315.6000000000004</v>
      </c>
      <c r="J34" s="47">
        <f t="shared" si="17"/>
        <v>24802.412112000005</v>
      </c>
      <c r="K34" s="144"/>
      <c r="L34" s="155"/>
      <c r="M34" s="144"/>
      <c r="N34" s="155"/>
      <c r="O34" s="138"/>
      <c r="P34" s="153"/>
      <c r="Q34" s="136"/>
      <c r="R34" s="148"/>
      <c r="S34" s="127"/>
      <c r="T34" s="182"/>
      <c r="U34" s="184"/>
      <c r="V34" s="184"/>
      <c r="W34" s="127"/>
      <c r="X34" s="196"/>
      <c r="Y34" s="173"/>
      <c r="Z34" s="199"/>
    </row>
    <row r="35" spans="1:26" x14ac:dyDescent="0.25">
      <c r="A35" s="150"/>
      <c r="B35" s="85">
        <v>1.5</v>
      </c>
      <c r="C35" s="216">
        <f t="shared" si="27"/>
        <v>271647</v>
      </c>
      <c r="D35" s="217">
        <f t="shared" si="13"/>
        <v>2032060.81644</v>
      </c>
      <c r="E35" s="216">
        <f t="shared" si="28"/>
        <v>15.940200000000001</v>
      </c>
      <c r="F35" s="217">
        <f t="shared" si="11"/>
        <v>7154.4798165000002</v>
      </c>
      <c r="G35" s="46">
        <f t="shared" si="29"/>
        <v>4179.1846153846154</v>
      </c>
      <c r="H35" s="47">
        <f t="shared" si="15"/>
        <v>31262.474099076924</v>
      </c>
      <c r="I35" s="48">
        <f t="shared" si="30"/>
        <v>4782.0600000000004</v>
      </c>
      <c r="J35" s="47">
        <f t="shared" si="17"/>
        <v>35772.295471200006</v>
      </c>
      <c r="K35" s="144"/>
      <c r="L35" s="155"/>
      <c r="M35" s="144"/>
      <c r="N35" s="155"/>
      <c r="O35" s="138"/>
      <c r="P35" s="153"/>
      <c r="Q35" s="136"/>
      <c r="R35" s="148"/>
      <c r="S35" s="127"/>
      <c r="T35" s="182"/>
      <c r="U35" s="184"/>
      <c r="V35" s="184"/>
      <c r="W35" s="127"/>
      <c r="X35" s="196"/>
      <c r="Y35" s="173"/>
      <c r="Z35" s="199"/>
    </row>
    <row r="36" spans="1:26" x14ac:dyDescent="0.25">
      <c r="A36" s="150"/>
      <c r="B36" s="85">
        <v>2</v>
      </c>
      <c r="C36" s="216">
        <f t="shared" si="27"/>
        <v>366761</v>
      </c>
      <c r="D36" s="217">
        <f t="shared" si="13"/>
        <v>2743562.99572</v>
      </c>
      <c r="E36" s="216">
        <f t="shared" si="28"/>
        <v>20.828400000000002</v>
      </c>
      <c r="F36" s="217">
        <f t="shared" si="11"/>
        <v>9348.4628430000012</v>
      </c>
      <c r="G36" s="46">
        <f t="shared" si="29"/>
        <v>5642.4769230769234</v>
      </c>
      <c r="H36" s="47">
        <f t="shared" si="15"/>
        <v>42208.661472615386</v>
      </c>
      <c r="I36" s="48">
        <f t="shared" si="30"/>
        <v>6248.52</v>
      </c>
      <c r="J36" s="47">
        <f t="shared" si="17"/>
        <v>46742.178830400007</v>
      </c>
      <c r="K36" s="144"/>
      <c r="L36" s="155"/>
      <c r="M36" s="144"/>
      <c r="N36" s="155"/>
      <c r="O36" s="138"/>
      <c r="P36" s="153"/>
      <c r="Q36" s="136"/>
      <c r="R36" s="148"/>
      <c r="S36" s="127"/>
      <c r="T36" s="182"/>
      <c r="U36" s="184"/>
      <c r="V36" s="184"/>
      <c r="W36" s="127"/>
      <c r="X36" s="196"/>
      <c r="Y36" s="173"/>
      <c r="Z36" s="199"/>
    </row>
    <row r="37" spans="1:26" x14ac:dyDescent="0.25">
      <c r="A37" s="150"/>
      <c r="B37" s="85">
        <v>2.5</v>
      </c>
      <c r="C37" s="216">
        <f t="shared" si="27"/>
        <v>461875</v>
      </c>
      <c r="D37" s="217">
        <f t="shared" si="13"/>
        <v>3455065.1750000003</v>
      </c>
      <c r="E37" s="216">
        <f t="shared" si="28"/>
        <v>25.716600000000003</v>
      </c>
      <c r="F37" s="217">
        <f t="shared" si="11"/>
        <v>11542.445869500001</v>
      </c>
      <c r="G37" s="46">
        <f t="shared" si="29"/>
        <v>7105.7692307692305</v>
      </c>
      <c r="H37" s="47">
        <f t="shared" si="15"/>
        <v>53154.848846153844</v>
      </c>
      <c r="I37" s="48">
        <f t="shared" si="30"/>
        <v>7714.9800000000005</v>
      </c>
      <c r="J37" s="47">
        <f t="shared" si="17"/>
        <v>57712.062189600008</v>
      </c>
      <c r="K37" s="144"/>
      <c r="L37" s="155"/>
      <c r="M37" s="144"/>
      <c r="N37" s="155"/>
      <c r="O37" s="138"/>
      <c r="P37" s="153"/>
      <c r="Q37" s="136"/>
      <c r="R37" s="148"/>
      <c r="S37" s="127"/>
      <c r="T37" s="182"/>
      <c r="U37" s="184"/>
      <c r="V37" s="184"/>
      <c r="W37" s="127"/>
      <c r="X37" s="196"/>
      <c r="Y37" s="173"/>
      <c r="Z37" s="199"/>
    </row>
    <row r="38" spans="1:26" ht="15.75" thickBot="1" x14ac:dyDescent="0.3">
      <c r="A38" s="151"/>
      <c r="B38" s="219">
        <v>3</v>
      </c>
      <c r="C38" s="224">
        <f t="shared" si="27"/>
        <v>556989</v>
      </c>
      <c r="D38" s="225">
        <f t="shared" si="13"/>
        <v>4166567.3542800001</v>
      </c>
      <c r="E38" s="224">
        <f t="shared" si="28"/>
        <v>30.604800000000001</v>
      </c>
      <c r="F38" s="225">
        <f t="shared" si="11"/>
        <v>13736.428895999999</v>
      </c>
      <c r="G38" s="49">
        <f t="shared" si="29"/>
        <v>8569.0615384615376</v>
      </c>
      <c r="H38" s="50">
        <f t="shared" si="15"/>
        <v>64101.036219692302</v>
      </c>
      <c r="I38" s="51">
        <f t="shared" si="30"/>
        <v>9181.44</v>
      </c>
      <c r="J38" s="50">
        <f t="shared" si="17"/>
        <v>68681.945548800009</v>
      </c>
      <c r="K38" s="144"/>
      <c r="L38" s="155"/>
      <c r="M38" s="144"/>
      <c r="N38" s="155"/>
      <c r="O38" s="138"/>
      <c r="P38" s="153"/>
      <c r="Q38" s="136"/>
      <c r="R38" s="148"/>
      <c r="S38" s="127"/>
      <c r="T38" s="188"/>
      <c r="U38" s="189"/>
      <c r="V38" s="189"/>
      <c r="W38" s="192"/>
      <c r="X38" s="197"/>
      <c r="Y38" s="173"/>
      <c r="Z38" s="178"/>
    </row>
    <row r="39" spans="1:26" x14ac:dyDescent="0.25">
      <c r="A39" s="52" t="s">
        <v>74</v>
      </c>
      <c r="B39" s="53"/>
    </row>
    <row r="40" spans="1:26" x14ac:dyDescent="0.25">
      <c r="A40" s="52" t="s">
        <v>75</v>
      </c>
      <c r="B40" s="53"/>
    </row>
    <row r="41" spans="1:26" x14ac:dyDescent="0.25">
      <c r="A41" s="53" t="s">
        <v>76</v>
      </c>
      <c r="B41" s="53"/>
    </row>
  </sheetData>
  <mergeCells count="96">
    <mergeCell ref="X21:X26"/>
    <mergeCell ref="X27:X32"/>
    <mergeCell ref="X33:X38"/>
    <mergeCell ref="Y21:Y26"/>
    <mergeCell ref="Y27:Y32"/>
    <mergeCell ref="Y33:Y38"/>
    <mergeCell ref="Z9:Z14"/>
    <mergeCell ref="Z15:Z20"/>
    <mergeCell ref="Z21:Z26"/>
    <mergeCell ref="Z27:Z32"/>
    <mergeCell ref="Z33:Z38"/>
    <mergeCell ref="Y15:Y20"/>
    <mergeCell ref="X7:Y7"/>
    <mergeCell ref="Q6:Z6"/>
    <mergeCell ref="X9:X14"/>
    <mergeCell ref="Y9:Y14"/>
    <mergeCell ref="X15:X20"/>
    <mergeCell ref="T33:T38"/>
    <mergeCell ref="U33:U38"/>
    <mergeCell ref="V33:W38"/>
    <mergeCell ref="T21:T26"/>
    <mergeCell ref="U21:U26"/>
    <mergeCell ref="V21:W26"/>
    <mergeCell ref="T27:T32"/>
    <mergeCell ref="U27:U32"/>
    <mergeCell ref="V27:W32"/>
    <mergeCell ref="M7:N7"/>
    <mergeCell ref="A27:A32"/>
    <mergeCell ref="O27:O32"/>
    <mergeCell ref="P27:P32"/>
    <mergeCell ref="M27:M32"/>
    <mergeCell ref="N27:N32"/>
    <mergeCell ref="A7:A8"/>
    <mergeCell ref="C7:D7"/>
    <mergeCell ref="E7:F7"/>
    <mergeCell ref="G7:H7"/>
    <mergeCell ref="I7:J7"/>
    <mergeCell ref="O7:P7"/>
    <mergeCell ref="K7:L7"/>
    <mergeCell ref="Q33:Q38"/>
    <mergeCell ref="R33:R38"/>
    <mergeCell ref="A21:A26"/>
    <mergeCell ref="O21:O26"/>
    <mergeCell ref="P21:P26"/>
    <mergeCell ref="M21:M26"/>
    <mergeCell ref="N21:N26"/>
    <mergeCell ref="A33:A38"/>
    <mergeCell ref="O33:O38"/>
    <mergeCell ref="P33:P38"/>
    <mergeCell ref="M33:M38"/>
    <mergeCell ref="N33:N38"/>
    <mergeCell ref="K33:K38"/>
    <mergeCell ref="L33:L38"/>
    <mergeCell ref="K9:K14"/>
    <mergeCell ref="L9:L14"/>
    <mergeCell ref="A9:A14"/>
    <mergeCell ref="O9:O14"/>
    <mergeCell ref="P9:P14"/>
    <mergeCell ref="M9:M14"/>
    <mergeCell ref="N9:N14"/>
    <mergeCell ref="A15:A20"/>
    <mergeCell ref="O15:O20"/>
    <mergeCell ref="P15:P20"/>
    <mergeCell ref="M15:M20"/>
    <mergeCell ref="N15:N20"/>
    <mergeCell ref="S33:S38"/>
    <mergeCell ref="B6:J6"/>
    <mergeCell ref="Q15:Q20"/>
    <mergeCell ref="K6:P6"/>
    <mergeCell ref="Q7:R7"/>
    <mergeCell ref="Q27:Q32"/>
    <mergeCell ref="R27:R32"/>
    <mergeCell ref="Q21:Q26"/>
    <mergeCell ref="Q9:Q14"/>
    <mergeCell ref="K15:K20"/>
    <mergeCell ref="L15:L20"/>
    <mergeCell ref="K27:K32"/>
    <mergeCell ref="L27:L32"/>
    <mergeCell ref="K21:K26"/>
    <mergeCell ref="L21:L26"/>
    <mergeCell ref="R21:R26"/>
    <mergeCell ref="S9:S14"/>
    <mergeCell ref="S15:S20"/>
    <mergeCell ref="S21:S26"/>
    <mergeCell ref="S27:S32"/>
    <mergeCell ref="R9:R14"/>
    <mergeCell ref="R15:R20"/>
    <mergeCell ref="T7:U7"/>
    <mergeCell ref="V8:W8"/>
    <mergeCell ref="V7:W7"/>
    <mergeCell ref="V9:W14"/>
    <mergeCell ref="V15:W20"/>
    <mergeCell ref="T9:T14"/>
    <mergeCell ref="U9:U14"/>
    <mergeCell ref="T15:T20"/>
    <mergeCell ref="U15:U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Creeks</vt:lpstr>
      <vt:lpstr>Outfalls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Newtson, Jameson</dc:creator>
  <cp:lastModifiedBy>Messina, Alex</cp:lastModifiedBy>
  <cp:lastPrinted>2020-04-06T03:40:57Z</cp:lastPrinted>
  <dcterms:created xsi:type="dcterms:W3CDTF">2020-03-09T23:26:56Z</dcterms:created>
  <dcterms:modified xsi:type="dcterms:W3CDTF">2021-03-12T18:46:22Z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4b615afc741440ddb12f96e7182c8e4a</vt:lpwstr>
  </property>
</Properties>
</file>