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Storm Pacings and Settings\Storm 1_2021\"/>
    </mc:Choice>
  </mc:AlternateContent>
  <xr:revisionPtr revIDLastSave="0" documentId="13_ncr:1_{E8FCB893-56D6-47D3-9BBD-0313349119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eeks" sheetId="1" r:id="rId1"/>
    <sheet name="Outfalls" sheetId="3" r:id="rId2"/>
    <sheet name="ESRI_MAPINFO_SHEET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3" l="1"/>
  <c r="I20" i="3" s="1"/>
  <c r="J20" i="3" s="1"/>
  <c r="C20" i="3"/>
  <c r="D20" i="3" s="1"/>
  <c r="E19" i="3"/>
  <c r="I19" i="3" s="1"/>
  <c r="J19" i="3" s="1"/>
  <c r="C19" i="3"/>
  <c r="G19" i="3" s="1"/>
  <c r="H19" i="3" s="1"/>
  <c r="E18" i="3"/>
  <c r="F18" i="3" s="1"/>
  <c r="C18" i="3"/>
  <c r="D18" i="3" s="1"/>
  <c r="E17" i="3"/>
  <c r="F17" i="3" s="1"/>
  <c r="C17" i="3"/>
  <c r="G17" i="3" s="1"/>
  <c r="H17" i="3" s="1"/>
  <c r="E16" i="3"/>
  <c r="I16" i="3" s="1"/>
  <c r="J16" i="3" s="1"/>
  <c r="C16" i="3"/>
  <c r="G16" i="3" s="1"/>
  <c r="H16" i="3" s="1"/>
  <c r="E15" i="3"/>
  <c r="F15" i="3" s="1"/>
  <c r="C15" i="3"/>
  <c r="D15" i="3" s="1"/>
  <c r="E14" i="3"/>
  <c r="I14" i="3" s="1"/>
  <c r="J14" i="3" s="1"/>
  <c r="C14" i="3"/>
  <c r="D14" i="3" s="1"/>
  <c r="E13" i="3"/>
  <c r="I13" i="3" s="1"/>
  <c r="J13" i="3" s="1"/>
  <c r="C13" i="3"/>
  <c r="G13" i="3" s="1"/>
  <c r="H13" i="3" s="1"/>
  <c r="E12" i="3"/>
  <c r="F12" i="3" s="1"/>
  <c r="C12" i="3"/>
  <c r="D12" i="3" s="1"/>
  <c r="E11" i="3"/>
  <c r="I11" i="3" s="1"/>
  <c r="J11" i="3" s="1"/>
  <c r="C11" i="3"/>
  <c r="D11" i="3" s="1"/>
  <c r="E10" i="3"/>
  <c r="I10" i="3" s="1"/>
  <c r="J10" i="3" s="1"/>
  <c r="C10" i="3"/>
  <c r="G10" i="3" s="1"/>
  <c r="H10" i="3" s="1"/>
  <c r="E9" i="3"/>
  <c r="F9" i="3" s="1"/>
  <c r="C9" i="3"/>
  <c r="D9" i="3" s="1"/>
  <c r="E38" i="3"/>
  <c r="F38" i="3" s="1"/>
  <c r="C38" i="3"/>
  <c r="D38" i="3" s="1"/>
  <c r="E37" i="3"/>
  <c r="I37" i="3" s="1"/>
  <c r="J37" i="3" s="1"/>
  <c r="C37" i="3"/>
  <c r="D37" i="3" s="1"/>
  <c r="E36" i="3"/>
  <c r="F36" i="3" s="1"/>
  <c r="C36" i="3"/>
  <c r="D36" i="3" s="1"/>
  <c r="E35" i="3"/>
  <c r="I35" i="3" s="1"/>
  <c r="J35" i="3" s="1"/>
  <c r="C35" i="3"/>
  <c r="G35" i="3" s="1"/>
  <c r="H35" i="3" s="1"/>
  <c r="E34" i="3"/>
  <c r="I34" i="3" s="1"/>
  <c r="J34" i="3" s="1"/>
  <c r="C34" i="3"/>
  <c r="D34" i="3" s="1"/>
  <c r="E33" i="3"/>
  <c r="F33" i="3" s="1"/>
  <c r="C33" i="3"/>
  <c r="D33" i="3" s="1"/>
  <c r="E26" i="3"/>
  <c r="I26" i="3" s="1"/>
  <c r="J26" i="3" s="1"/>
  <c r="C26" i="3"/>
  <c r="D26" i="3" s="1"/>
  <c r="E25" i="3"/>
  <c r="F25" i="3" s="1"/>
  <c r="C25" i="3"/>
  <c r="D25" i="3" s="1"/>
  <c r="E24" i="3"/>
  <c r="F24" i="3" s="1"/>
  <c r="C24" i="3"/>
  <c r="D24" i="3" s="1"/>
  <c r="E23" i="3"/>
  <c r="F23" i="3" s="1"/>
  <c r="C23" i="3"/>
  <c r="D23" i="3" s="1"/>
  <c r="E22" i="3"/>
  <c r="I22" i="3" s="1"/>
  <c r="J22" i="3" s="1"/>
  <c r="C22" i="3"/>
  <c r="D22" i="3" s="1"/>
  <c r="E21" i="3"/>
  <c r="F21" i="3" s="1"/>
  <c r="C21" i="3"/>
  <c r="D21" i="3" s="1"/>
  <c r="E32" i="3"/>
  <c r="F32" i="3" s="1"/>
  <c r="C32" i="3"/>
  <c r="D32" i="3" s="1"/>
  <c r="E31" i="3"/>
  <c r="F31" i="3" s="1"/>
  <c r="C31" i="3"/>
  <c r="D31" i="3" s="1"/>
  <c r="E30" i="3"/>
  <c r="F30" i="3" s="1"/>
  <c r="C30" i="3"/>
  <c r="D30" i="3" s="1"/>
  <c r="E29" i="3"/>
  <c r="F29" i="3" s="1"/>
  <c r="C29" i="3"/>
  <c r="D29" i="3" s="1"/>
  <c r="E28" i="3"/>
  <c r="F28" i="3" s="1"/>
  <c r="C28" i="3"/>
  <c r="D28" i="3" s="1"/>
  <c r="E27" i="3"/>
  <c r="F27" i="3" s="1"/>
  <c r="C27" i="3"/>
  <c r="D27" i="3" s="1"/>
  <c r="C3" i="3"/>
  <c r="E2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6" i="1"/>
  <c r="E47" i="1"/>
  <c r="E48" i="1"/>
  <c r="E49" i="1"/>
  <c r="E50" i="1"/>
  <c r="E51" i="1"/>
  <c r="E52" i="1"/>
  <c r="E53" i="1"/>
  <c r="E54" i="1"/>
  <c r="E55" i="1"/>
  <c r="E56" i="1"/>
  <c r="E3" i="1"/>
  <c r="I36" i="3" l="1"/>
  <c r="J36" i="3" s="1"/>
  <c r="F11" i="3"/>
  <c r="G38" i="3"/>
  <c r="H38" i="3" s="1"/>
  <c r="I15" i="3"/>
  <c r="J15" i="3" s="1"/>
  <c r="G36" i="3"/>
  <c r="H36" i="3" s="1"/>
  <c r="D17" i="3"/>
  <c r="I27" i="3"/>
  <c r="J27" i="3" s="1"/>
  <c r="G12" i="3"/>
  <c r="H12" i="3" s="1"/>
  <c r="G29" i="3"/>
  <c r="H29" i="3" s="1"/>
  <c r="D13" i="3"/>
  <c r="I17" i="3"/>
  <c r="J17" i="3" s="1"/>
  <c r="G24" i="3"/>
  <c r="H24" i="3" s="1"/>
  <c r="I30" i="3"/>
  <c r="J30" i="3" s="1"/>
  <c r="G32" i="3"/>
  <c r="H32" i="3" s="1"/>
  <c r="I38" i="3"/>
  <c r="J38" i="3" s="1"/>
  <c r="G11" i="3"/>
  <c r="H11" i="3" s="1"/>
  <c r="G20" i="3"/>
  <c r="H20" i="3" s="1"/>
  <c r="I29" i="3"/>
  <c r="J29" i="3" s="1"/>
  <c r="G23" i="3"/>
  <c r="H23" i="3" s="1"/>
  <c r="F26" i="3"/>
  <c r="D35" i="3"/>
  <c r="I23" i="3"/>
  <c r="J23" i="3" s="1"/>
  <c r="G26" i="3"/>
  <c r="H26" i="3" s="1"/>
  <c r="I9" i="3"/>
  <c r="J9" i="3" s="1"/>
  <c r="F14" i="3"/>
  <c r="I18" i="3"/>
  <c r="J18" i="3" s="1"/>
  <c r="G27" i="3"/>
  <c r="H27" i="3" s="1"/>
  <c r="G30" i="3"/>
  <c r="H30" i="3" s="1"/>
  <c r="G21" i="3"/>
  <c r="H21" i="3" s="1"/>
  <c r="F35" i="3"/>
  <c r="G14" i="3"/>
  <c r="H14" i="3" s="1"/>
  <c r="I32" i="3"/>
  <c r="J32" i="3" s="1"/>
  <c r="G9" i="3"/>
  <c r="H9" i="3" s="1"/>
  <c r="G18" i="3"/>
  <c r="H18" i="3" s="1"/>
  <c r="I21" i="3"/>
  <c r="J21" i="3" s="1"/>
  <c r="D10" i="3"/>
  <c r="D19" i="3"/>
  <c r="I24" i="3"/>
  <c r="J24" i="3" s="1"/>
  <c r="G33" i="3"/>
  <c r="H33" i="3" s="1"/>
  <c r="I12" i="3"/>
  <c r="J12" i="3" s="1"/>
  <c r="I33" i="3"/>
  <c r="J33" i="3" s="1"/>
  <c r="G15" i="3"/>
  <c r="H15" i="3" s="1"/>
  <c r="F20" i="3"/>
  <c r="D16" i="3"/>
  <c r="F34" i="3"/>
  <c r="F10" i="3"/>
  <c r="F13" i="3"/>
  <c r="G28" i="3"/>
  <c r="H28" i="3" s="1"/>
  <c r="G31" i="3"/>
  <c r="H31" i="3" s="1"/>
  <c r="G22" i="3"/>
  <c r="H22" i="3" s="1"/>
  <c r="G25" i="3"/>
  <c r="H25" i="3" s="1"/>
  <c r="G34" i="3"/>
  <c r="H34" i="3" s="1"/>
  <c r="G37" i="3"/>
  <c r="H37" i="3" s="1"/>
  <c r="F16" i="3"/>
  <c r="F22" i="3"/>
  <c r="F37" i="3"/>
  <c r="F19" i="3"/>
  <c r="I28" i="3"/>
  <c r="J28" i="3" s="1"/>
  <c r="I31" i="3"/>
  <c r="J31" i="3" s="1"/>
  <c r="I25" i="3"/>
  <c r="J25" i="3" s="1"/>
  <c r="F52" i="1"/>
  <c r="F53" i="1"/>
  <c r="F54" i="1"/>
  <c r="F55" i="1"/>
  <c r="F56" i="1"/>
  <c r="F5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" i="1"/>
</calcChain>
</file>

<file path=xl/sharedStrings.xml><?xml version="1.0" encoding="utf-8"?>
<sst xmlns="http://schemas.openxmlformats.org/spreadsheetml/2006/main" count="168" uniqueCount="96">
  <si>
    <t>Creek Site</t>
  </si>
  <si>
    <t>1"</t>
  </si>
  <si>
    <t>3"</t>
  </si>
  <si>
    <t>Pacing (cf)</t>
  </si>
  <si>
    <t>Del Dios</t>
  </si>
  <si>
    <t>Felicita</t>
  </si>
  <si>
    <t>San Dieguito</t>
  </si>
  <si>
    <t>2"</t>
  </si>
  <si>
    <t>Kit Carson</t>
  </si>
  <si>
    <t>Moonsong</t>
  </si>
  <si>
    <t>Green Valley</t>
  </si>
  <si>
    <t>Cloverdale</t>
  </si>
  <si>
    <t>Guejito</t>
  </si>
  <si>
    <t>Sycamore</t>
  </si>
  <si>
    <t>60% of Pacing (cf)</t>
  </si>
  <si>
    <t>0.5"</t>
  </si>
  <si>
    <t>Predicted Peak Flow (cfs)</t>
  </si>
  <si>
    <t>Predicted Stage height (in)</t>
  </si>
  <si>
    <t>60% Pacing, rounded (cfs)</t>
  </si>
  <si>
    <t>1.5"</t>
  </si>
  <si>
    <t>2.5"</t>
  </si>
  <si>
    <t>Predicted Rainfall total (in)</t>
  </si>
  <si>
    <t>Note: pacings estimates based on sampling frequency of 10 minute intervals during peak flow</t>
  </si>
  <si>
    <t>***</t>
  </si>
  <si>
    <t>WW1 pacing (1.05" rainfall</t>
  </si>
  <si>
    <t>WW2 pacing (0.89" rainfall)</t>
  </si>
  <si>
    <t>WW3.2 Pacing (3.53" rainfall)</t>
  </si>
  <si>
    <t>WW3 Pacing (1.80" rainfall)</t>
  </si>
  <si>
    <t>5,000 &gt;&gt; 625</t>
  </si>
  <si>
    <t>1,000 &gt;&gt; 2,000</t>
  </si>
  <si>
    <t>10,000 &gt;&gt; 30,000</t>
  </si>
  <si>
    <t>80,000 &gt;&gt; 320,000</t>
  </si>
  <si>
    <t>WW1 Pacing (2" forecast)</t>
  </si>
  <si>
    <t>22,000 &gt;&gt; 88000</t>
  </si>
  <si>
    <t>22,000 &gt;&gt; 66,000</t>
  </si>
  <si>
    <t>60,000 &gt;&gt; 120,000</t>
  </si>
  <si>
    <t>150,000 &gt;&gt; 600,000 (or more?)</t>
  </si>
  <si>
    <t>1,000 &gt;&gt; 5,000</t>
  </si>
  <si>
    <t>600,000 &gt;&gt; 2.4M (or more?)</t>
  </si>
  <si>
    <t>50,000 &gt;&gt; 100,000</t>
  </si>
  <si>
    <t>240,000 &gt;&gt; 720,000</t>
  </si>
  <si>
    <t>45000 &gt;&gt; 90,000</t>
  </si>
  <si>
    <t>90,000 &gt;&gt; 360,000 (or more?)</t>
  </si>
  <si>
    <t>12,000 &gt;&gt; 48,000</t>
  </si>
  <si>
    <t>25,000 &gt;&gt; 75,000</t>
  </si>
  <si>
    <t>100,000 &gt;&gt; 200,000</t>
  </si>
  <si>
    <t>1M &gt;&gt; time</t>
  </si>
  <si>
    <t>2,000 &gt;&gt; 50,000</t>
  </si>
  <si>
    <t>100,000 &gt;&gt; 300,000</t>
  </si>
  <si>
    <t>1,000 &gt;&gt; 4,000</t>
  </si>
  <si>
    <t>8000 &gt;&gt; 16,000</t>
  </si>
  <si>
    <t>48,000 &gt;&gt; 768,000 (or more?)</t>
  </si>
  <si>
    <t>Bottle volume (L)</t>
  </si>
  <si>
    <t>=pacing estimate</t>
  </si>
  <si>
    <t>Aliquot volume (mL)</t>
  </si>
  <si>
    <t>=modify</t>
  </si>
  <si>
    <t>Maximum number of aliquots</t>
  </si>
  <si>
    <t>=JN WW3 pacing estimate</t>
  </si>
  <si>
    <t>Target number of aliquots</t>
  </si>
  <si>
    <t>Site</t>
  </si>
  <si>
    <t>Predicted Rainfall</t>
  </si>
  <si>
    <r>
      <t>Predicted Total Storm Flow</t>
    </r>
    <r>
      <rPr>
        <vertAlign val="superscript"/>
        <sz val="11"/>
        <color theme="1"/>
        <rFont val="Calibri"/>
        <family val="2"/>
        <scheme val="minor"/>
      </rPr>
      <t>1</t>
    </r>
  </si>
  <si>
    <r>
      <t>Predicted Peak Flow</t>
    </r>
    <r>
      <rPr>
        <vertAlign val="superscript"/>
        <sz val="11"/>
        <color theme="1"/>
        <rFont val="Calibri"/>
        <family val="2"/>
        <scheme val="minor"/>
      </rPr>
      <t>1</t>
    </r>
  </si>
  <si>
    <r>
      <t>Total Stormflow based pacing</t>
    </r>
    <r>
      <rPr>
        <vertAlign val="superscript"/>
        <sz val="11"/>
        <color theme="1"/>
        <rFont val="Calibri"/>
        <family val="2"/>
        <scheme val="minor"/>
      </rPr>
      <t>2</t>
    </r>
  </si>
  <si>
    <r>
      <t>Peak Stormflow based pacing</t>
    </r>
    <r>
      <rPr>
        <vertAlign val="superscript"/>
        <sz val="11"/>
        <color theme="1"/>
        <rFont val="Calibri"/>
        <family val="2"/>
        <scheme val="minor"/>
      </rPr>
      <t>3</t>
    </r>
  </si>
  <si>
    <t>in</t>
  </si>
  <si>
    <t>cf</t>
  </si>
  <si>
    <t>gal</t>
  </si>
  <si>
    <t>cfs</t>
  </si>
  <si>
    <t>gpm</t>
  </si>
  <si>
    <t>DW0011-Bernardo Plaza</t>
  </si>
  <si>
    <t>DW0317-Tazon</t>
  </si>
  <si>
    <t>DW914-Lomica</t>
  </si>
  <si>
    <t>HDG101-El Ku</t>
  </si>
  <si>
    <t>HDG102-Via Rancho</t>
  </si>
  <si>
    <t>1. Based on linear rainfall/runoff relationship (see FLOW worksheets \\SDG1-FS1\SDShare\Projects-South\Environmental - Schaedler\5025-19-1029 City of SD TO 29 Hodges Nutrient Source Investigation\Data &amp; Field Records\Flow data\MS4 Flow Processed)</t>
  </si>
  <si>
    <t>2. Based on predicted stormflow total divided by target number of aliquots</t>
  </si>
  <si>
    <t>3.  Based on a minimum 5 minute time interval between aliquots during predicted peak flow</t>
  </si>
  <si>
    <t>WW1 Pacing (1.05" rainfall)</t>
  </si>
  <si>
    <t>WW2 Pacing (0.89" rainfall)</t>
  </si>
  <si>
    <t>2,500 &gt;&gt; 10,000</t>
  </si>
  <si>
    <t>WW3.1 Pacing (1.8" rainfall)</t>
  </si>
  <si>
    <t>10,000 (issues during WW, this was revised down)</t>
  </si>
  <si>
    <t>6000 (not sure if this one had issues, maybe changed)</t>
  </si>
  <si>
    <t>12,000 &gt;&gt; 36,000</t>
  </si>
  <si>
    <t>NOTES</t>
  </si>
  <si>
    <t>PT is reading higher levels, could give much higher flow readings, might want to go on the higher end</t>
  </si>
  <si>
    <t>PT and 950 are fairly close, PT a bit higher. Some really high spikes in level data could cause very high flows</t>
  </si>
  <si>
    <t xml:space="preserve">getting some high spikes and overall higher levels from PT, otherwise it follows the 950 flow pretty well. </t>
  </si>
  <si>
    <t>PT recorded pretty high levels (17inches 13,000 gpm, in past few storms, pushing this one way up)</t>
  </si>
  <si>
    <t>These are based on 950 data, not sure how representative they are of PT flows</t>
  </si>
  <si>
    <t>1,000 (shooting low if there's flow)</t>
  </si>
  <si>
    <t>3,000 (rating curve is revised way down)</t>
  </si>
  <si>
    <t>1,000 (shooting way low if there's flow)</t>
  </si>
  <si>
    <t>4,000 (shooting low, might not be flow)</t>
  </si>
  <si>
    <t>2000 - 20000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</si>
</sst>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Fill="1" applyBorder="1"/>
    <xf numFmtId="3" fontId="0" fillId="0" borderId="6" xfId="0" applyNumberFormat="1" applyBorder="1" applyAlignment="1"/>
    <xf numFmtId="3" fontId="0" fillId="0" borderId="6" xfId="0" applyNumberFormat="1" applyFill="1" applyBorder="1"/>
    <xf numFmtId="0" fontId="0" fillId="0" borderId="11" xfId="0" applyBorder="1"/>
    <xf numFmtId="3" fontId="0" fillId="0" borderId="11" xfId="0" applyNumberFormat="1" applyFill="1" applyBorder="1"/>
    <xf numFmtId="0" fontId="0" fillId="0" borderId="11" xfId="0" applyFill="1" applyBorder="1"/>
    <xf numFmtId="2" fontId="0" fillId="0" borderId="6" xfId="0" applyNumberFormat="1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3" fontId="0" fillId="0" borderId="3" xfId="0" applyNumberFormat="1" applyBorder="1" applyAlignment="1">
      <alignment wrapText="1"/>
    </xf>
    <xf numFmtId="3" fontId="0" fillId="0" borderId="1" xfId="0" applyNumberFormat="1" applyBorder="1" applyAlignment="1"/>
    <xf numFmtId="0" fontId="0" fillId="0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/>
    <xf numFmtId="0" fontId="0" fillId="0" borderId="5" xfId="0" applyBorder="1" applyAlignment="1"/>
    <xf numFmtId="3" fontId="0" fillId="2" borderId="7" xfId="0" applyNumberFormat="1" applyFill="1" applyBorder="1" applyAlignment="1"/>
    <xf numFmtId="0" fontId="0" fillId="0" borderId="8" xfId="0" applyBorder="1"/>
    <xf numFmtId="3" fontId="0" fillId="2" borderId="9" xfId="0" applyNumberFormat="1" applyFill="1" applyBorder="1"/>
    <xf numFmtId="0" fontId="0" fillId="0" borderId="10" xfId="0" applyBorder="1"/>
    <xf numFmtId="3" fontId="0" fillId="0" borderId="11" xfId="0" applyNumberFormat="1" applyBorder="1" applyAlignment="1"/>
    <xf numFmtId="3" fontId="0" fillId="2" borderId="12" xfId="0" applyNumberFormat="1" applyFill="1" applyBorder="1"/>
    <xf numFmtId="3" fontId="0" fillId="2" borderId="7" xfId="0" applyNumberFormat="1" applyFill="1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3" fontId="0" fillId="0" borderId="15" xfId="0" applyNumberFormat="1" applyFill="1" applyBorder="1" applyAlignment="1">
      <alignment horizontal="center" vertical="center" wrapText="1"/>
    </xf>
    <xf numFmtId="3" fontId="0" fillId="0" borderId="16" xfId="0" applyNumberFormat="1" applyFill="1" applyBorder="1" applyAlignment="1">
      <alignment horizontal="center" vertical="center" wrapText="1"/>
    </xf>
    <xf numFmtId="3" fontId="0" fillId="0" borderId="17" xfId="0" applyNumberFormat="1" applyFill="1" applyBorder="1" applyAlignment="1">
      <alignment horizontal="center" vertical="center" wrapText="1"/>
    </xf>
    <xf numFmtId="3" fontId="0" fillId="0" borderId="15" xfId="0" applyNumberFormat="1" applyBorder="1" applyAlignment="1">
      <alignment horizontal="center" vertical="center" wrapText="1"/>
    </xf>
    <xf numFmtId="3" fontId="0" fillId="0" borderId="16" xfId="0" applyNumberFormat="1" applyBorder="1" applyAlignment="1">
      <alignment horizontal="center" vertical="center" wrapText="1"/>
    </xf>
    <xf numFmtId="3" fontId="0" fillId="0" borderId="17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wrapText="1"/>
    </xf>
    <xf numFmtId="2" fontId="0" fillId="0" borderId="6" xfId="0" applyNumberFormat="1" applyBorder="1" applyAlignment="1"/>
    <xf numFmtId="2" fontId="0" fillId="0" borderId="1" xfId="0" applyNumberFormat="1" applyBorder="1"/>
    <xf numFmtId="2" fontId="0" fillId="0" borderId="11" xfId="0" applyNumberFormat="1" applyBorder="1"/>
    <xf numFmtId="2" fontId="0" fillId="0" borderId="1" xfId="0" applyNumberFormat="1" applyFill="1" applyBorder="1"/>
    <xf numFmtId="2" fontId="0" fillId="0" borderId="11" xfId="0" applyNumberFormat="1" applyFill="1" applyBorder="1"/>
    <xf numFmtId="2" fontId="0" fillId="0" borderId="0" xfId="0" applyNumberFormat="1"/>
    <xf numFmtId="2" fontId="0" fillId="0" borderId="6" xfId="0" quotePrefix="1" applyNumberFormat="1" applyFill="1" applyBorder="1"/>
    <xf numFmtId="0" fontId="0" fillId="0" borderId="4" xfId="0" applyFill="1" applyBorder="1" applyAlignment="1">
      <alignment wrapText="1"/>
    </xf>
    <xf numFmtId="3" fontId="0" fillId="0" borderId="20" xfId="0" applyNumberFormat="1" applyFill="1" applyBorder="1" applyAlignment="1">
      <alignment horizontal="center" vertical="center"/>
    </xf>
    <xf numFmtId="3" fontId="0" fillId="0" borderId="21" xfId="0" applyNumberFormat="1" applyFill="1" applyBorder="1" applyAlignment="1">
      <alignment horizontal="center" vertical="center"/>
    </xf>
    <xf numFmtId="3" fontId="0" fillId="0" borderId="22" xfId="0" applyNumberFormat="1" applyFill="1" applyBorder="1" applyAlignment="1">
      <alignment horizontal="center" vertical="center"/>
    </xf>
    <xf numFmtId="3" fontId="0" fillId="0" borderId="20" xfId="0" applyNumberFormat="1" applyFill="1" applyBorder="1" applyAlignment="1">
      <alignment horizontal="center" vertical="center" wrapText="1"/>
    </xf>
    <xf numFmtId="3" fontId="0" fillId="0" borderId="21" xfId="0" applyNumberFormat="1" applyFill="1" applyBorder="1" applyAlignment="1">
      <alignment horizontal="center" vertical="center" wrapText="1"/>
    </xf>
    <xf numFmtId="3" fontId="0" fillId="0" borderId="22" xfId="0" applyNumberFormat="1" applyFill="1" applyBorder="1" applyAlignment="1">
      <alignment horizontal="center" vertical="center" wrapText="1"/>
    </xf>
    <xf numFmtId="3" fontId="0" fillId="0" borderId="29" xfId="0" applyNumberFormat="1" applyFill="1" applyBorder="1" applyAlignment="1">
      <alignment horizontal="center" vertical="center"/>
    </xf>
    <xf numFmtId="3" fontId="0" fillId="0" borderId="30" xfId="0" applyNumberFormat="1" applyFill="1" applyBorder="1" applyAlignment="1">
      <alignment horizontal="center" vertical="center"/>
    </xf>
    <xf numFmtId="3" fontId="0" fillId="0" borderId="31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3" fontId="0" fillId="0" borderId="23" xfId="0" applyNumberFormat="1" applyBorder="1" applyAlignment="1">
      <alignment horizontal="center" vertical="center" wrapText="1"/>
    </xf>
    <xf numFmtId="3" fontId="0" fillId="3" borderId="23" xfId="0" applyNumberFormat="1" applyFill="1" applyBorder="1" applyAlignment="1">
      <alignment horizontal="center" vertical="center" wrapText="1"/>
    </xf>
    <xf numFmtId="0" fontId="0" fillId="3" borderId="8" xfId="0" applyFill="1" applyBorder="1"/>
    <xf numFmtId="2" fontId="0" fillId="3" borderId="1" xfId="0" applyNumberFormat="1" applyFill="1" applyBorder="1"/>
    <xf numFmtId="3" fontId="0" fillId="3" borderId="1" xfId="0" applyNumberFormat="1" applyFill="1" applyBorder="1" applyAlignment="1"/>
    <xf numFmtId="0" fontId="0" fillId="0" borderId="32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3" borderId="33" xfId="0" applyFill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2" borderId="0" xfId="0" applyFill="1"/>
    <xf numFmtId="0" fontId="0" fillId="0" borderId="0" xfId="0" quotePrefix="1"/>
    <xf numFmtId="0" fontId="0" fillId="4" borderId="0" xfId="0" applyFill="1"/>
    <xf numFmtId="0" fontId="0" fillId="0" borderId="34" xfId="0" applyBorder="1"/>
    <xf numFmtId="0" fontId="0" fillId="3" borderId="0" xfId="0" applyFill="1"/>
    <xf numFmtId="0" fontId="0" fillId="0" borderId="35" xfId="0" applyBorder="1"/>
    <xf numFmtId="0" fontId="0" fillId="4" borderId="14" xfId="0" applyFill="1" applyBorder="1"/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39" xfId="0" applyBorder="1"/>
    <xf numFmtId="0" fontId="0" fillId="0" borderId="40" xfId="0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11" xfId="0" applyFill="1" applyBorder="1"/>
    <xf numFmtId="0" fontId="0" fillId="0" borderId="23" xfId="0" applyBorder="1"/>
    <xf numFmtId="3" fontId="0" fillId="0" borderId="5" xfId="0" applyNumberFormat="1" applyBorder="1"/>
    <xf numFmtId="3" fontId="0" fillId="0" borderId="7" xfId="0" applyNumberFormat="1" applyBorder="1"/>
    <xf numFmtId="3" fontId="0" fillId="2" borderId="5" xfId="0" applyNumberFormat="1" applyFill="1" applyBorder="1"/>
    <xf numFmtId="3" fontId="0" fillId="2" borderId="36" xfId="0" applyNumberFormat="1" applyFill="1" applyBorder="1"/>
    <xf numFmtId="0" fontId="0" fillId="0" borderId="46" xfId="0" applyBorder="1" applyAlignment="1">
      <alignment horizontal="center" vertical="center"/>
    </xf>
    <xf numFmtId="3" fontId="0" fillId="0" borderId="44" xfId="0" applyNumberFormat="1" applyBorder="1" applyAlignment="1">
      <alignment horizontal="center" vertical="center"/>
    </xf>
    <xf numFmtId="0" fontId="0" fillId="0" borderId="24" xfId="0" applyBorder="1"/>
    <xf numFmtId="3" fontId="0" fillId="0" borderId="8" xfId="0" applyNumberFormat="1" applyBorder="1"/>
    <xf numFmtId="3" fontId="0" fillId="0" borderId="9" xfId="0" applyNumberFormat="1" applyBorder="1"/>
    <xf numFmtId="3" fontId="0" fillId="2" borderId="8" xfId="0" applyNumberFormat="1" applyFill="1" applyBorder="1"/>
    <xf numFmtId="3" fontId="0" fillId="2" borderId="48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38" xfId="0" applyBorder="1"/>
    <xf numFmtId="3" fontId="0" fillId="0" borderId="39" xfId="0" applyNumberFormat="1" applyBorder="1"/>
    <xf numFmtId="3" fontId="0" fillId="0" borderId="40" xfId="0" applyNumberFormat="1" applyBorder="1"/>
    <xf numFmtId="3" fontId="0" fillId="2" borderId="39" xfId="0" applyNumberFormat="1" applyFill="1" applyBorder="1"/>
    <xf numFmtId="3" fontId="0" fillId="2" borderId="40" xfId="0" applyNumberFormat="1" applyFill="1" applyBorder="1"/>
    <xf numFmtId="3" fontId="0" fillId="2" borderId="4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5" xfId="0" applyBorder="1"/>
    <xf numFmtId="3" fontId="0" fillId="0" borderId="10" xfId="0" applyNumberFormat="1" applyBorder="1"/>
    <xf numFmtId="3" fontId="0" fillId="0" borderId="12" xfId="0" applyNumberFormat="1" applyBorder="1"/>
    <xf numFmtId="3" fontId="0" fillId="2" borderId="10" xfId="0" applyNumberFormat="1" applyFill="1" applyBorder="1"/>
    <xf numFmtId="3" fontId="0" fillId="2" borderId="49" xfId="0" applyNumberFormat="1" applyFill="1" applyBorder="1"/>
    <xf numFmtId="0" fontId="0" fillId="0" borderId="50" xfId="0" applyBorder="1" applyAlignment="1">
      <alignment horizontal="center" vertical="center"/>
    </xf>
    <xf numFmtId="0" fontId="0" fillId="0" borderId="51" xfId="0" applyBorder="1"/>
    <xf numFmtId="3" fontId="0" fillId="0" borderId="46" xfId="0" applyNumberFormat="1" applyBorder="1"/>
    <xf numFmtId="3" fontId="0" fillId="0" borderId="47" xfId="0" applyNumberFormat="1" applyBorder="1"/>
    <xf numFmtId="3" fontId="0" fillId="2" borderId="46" xfId="0" applyNumberFormat="1" applyFill="1" applyBorder="1"/>
    <xf numFmtId="3" fontId="0" fillId="2" borderId="47" xfId="0" applyNumberFormat="1" applyFill="1" applyBorder="1"/>
    <xf numFmtId="3" fontId="0" fillId="2" borderId="52" xfId="0" applyNumberFormat="1" applyFill="1" applyBorder="1"/>
    <xf numFmtId="3" fontId="0" fillId="3" borderId="1" xfId="0" applyNumberFormat="1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3" fontId="0" fillId="0" borderId="30" xfId="0" applyNumberFormat="1" applyBorder="1"/>
    <xf numFmtId="3" fontId="0" fillId="0" borderId="54" xfId="0" applyNumberFormat="1" applyBorder="1"/>
    <xf numFmtId="3" fontId="0" fillId="2" borderId="30" xfId="0" applyNumberFormat="1" applyFill="1" applyBorder="1"/>
    <xf numFmtId="3" fontId="0" fillId="2" borderId="54" xfId="0" applyNumberFormat="1" applyFill="1" applyBorder="1"/>
    <xf numFmtId="3" fontId="0" fillId="2" borderId="55" xfId="0" applyNumberFormat="1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3" fontId="0" fillId="0" borderId="8" xfId="0" applyNumberFormat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4" fillId="0" borderId="13" xfId="0" applyFont="1" applyBorder="1"/>
    <xf numFmtId="0" fontId="4" fillId="0" borderId="0" xfId="0" applyFont="1"/>
    <xf numFmtId="0" fontId="2" fillId="0" borderId="3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43" xfId="0" applyFill="1" applyBorder="1"/>
    <xf numFmtId="0" fontId="0" fillId="0" borderId="44" xfId="0" applyFill="1" applyBorder="1" applyAlignment="1">
      <alignment horizontal="center" vertical="center"/>
    </xf>
    <xf numFmtId="3" fontId="0" fillId="0" borderId="4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35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0" fillId="0" borderId="11" xfId="0" applyNumberFormat="1" applyFill="1" applyBorder="1" applyAlignment="1">
      <alignment horizontal="center" vertical="center"/>
    </xf>
    <xf numFmtId="3" fontId="0" fillId="0" borderId="43" xfId="0" applyNumberForma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46" xfId="0" applyFill="1" applyBorder="1" applyAlignment="1">
      <alignment horizontal="center" vertical="center"/>
    </xf>
    <xf numFmtId="3" fontId="0" fillId="3" borderId="44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44" xfId="0" applyNumberFormat="1" applyBorder="1" applyAlignment="1">
      <alignment horizontal="center" vertical="center" wrapText="1"/>
    </xf>
    <xf numFmtId="0" fontId="0" fillId="3" borderId="57" xfId="0" applyFill="1" applyBorder="1"/>
    <xf numFmtId="3" fontId="0" fillId="3" borderId="8" xfId="0" applyNumberFormat="1" applyFill="1" applyBorder="1"/>
    <xf numFmtId="3" fontId="0" fillId="3" borderId="9" xfId="0" applyNumberFormat="1" applyFill="1" applyBorder="1"/>
    <xf numFmtId="0" fontId="0" fillId="3" borderId="24" xfId="0" applyFill="1" applyBorder="1"/>
    <xf numFmtId="3" fontId="0" fillId="3" borderId="46" xfId="0" applyNumberFormat="1" applyFill="1" applyBorder="1"/>
    <xf numFmtId="3" fontId="0" fillId="3" borderId="47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wrapText="1"/>
    </xf>
    <xf numFmtId="3" fontId="0" fillId="3" borderId="1" xfId="0" applyNumberFormat="1" applyFill="1" applyBorder="1" applyAlignment="1">
      <alignment horizontal="center" vertical="center" wrapText="1"/>
    </xf>
    <xf numFmtId="3" fontId="0" fillId="3" borderId="44" xfId="0" applyNumberFormat="1" applyFill="1" applyBorder="1" applyAlignment="1">
      <alignment horizontal="center" vertical="center" wrapText="1"/>
    </xf>
    <xf numFmtId="3" fontId="0" fillId="3" borderId="39" xfId="0" applyNumberFormat="1" applyFill="1" applyBorder="1" applyAlignment="1">
      <alignment horizontal="center" vertical="center"/>
    </xf>
    <xf numFmtId="3" fontId="0" fillId="3" borderId="30" xfId="0" applyNumberFormat="1" applyFill="1" applyBorder="1" applyAlignment="1">
      <alignment horizontal="center" vertical="center"/>
    </xf>
    <xf numFmtId="3" fontId="0" fillId="3" borderId="31" xfId="0" applyNumberFormat="1" applyFill="1" applyBorder="1" applyAlignment="1">
      <alignment horizontal="center" vertical="center"/>
    </xf>
    <xf numFmtId="3" fontId="0" fillId="3" borderId="24" xfId="0" applyNumberFormat="1" applyFill="1" applyBorder="1" applyAlignment="1">
      <alignment horizontal="center" vertical="center" wrapText="1"/>
    </xf>
    <xf numFmtId="3" fontId="0" fillId="3" borderId="25" xfId="0" applyNumberForma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7"/>
  <sheetViews>
    <sheetView tabSelected="1" zoomScale="90" zoomScaleNormal="90" workbookViewId="0">
      <pane xSplit="1" ySplit="2" topLeftCell="B21" activePane="bottomRight" state="frozen"/>
      <selection pane="topRight" activeCell="B1" sqref="B1"/>
      <selection pane="bottomLeft" activeCell="A2" sqref="A2"/>
      <selection pane="bottomRight" activeCell="N26" sqref="N26"/>
    </sheetView>
  </sheetViews>
  <sheetFormatPr defaultRowHeight="15" x14ac:dyDescent="0.25"/>
  <cols>
    <col min="1" max="1" width="16.42578125" customWidth="1"/>
    <col min="2" max="2" width="10.7109375" customWidth="1"/>
    <col min="3" max="3" width="9.5703125" style="50" customWidth="1"/>
    <col min="4" max="4" width="11.140625" style="50" customWidth="1"/>
    <col min="5" max="5" width="8.140625" style="1" customWidth="1"/>
    <col min="6" max="6" width="9" hidden="1" customWidth="1"/>
    <col min="7" max="7" width="10.85546875" style="17" customWidth="1"/>
    <col min="8" max="8" width="15" style="17" customWidth="1"/>
    <col min="9" max="9" width="18.140625" customWidth="1"/>
    <col min="10" max="10" width="16.85546875" style="17" customWidth="1"/>
    <col min="11" max="12" width="18.85546875" style="10" customWidth="1"/>
  </cols>
  <sheetData>
    <row r="1" spans="1:14" ht="15.75" thickBot="1" x14ac:dyDescent="0.3">
      <c r="H1" s="68">
        <v>2020</v>
      </c>
      <c r="I1" s="69"/>
      <c r="J1" s="69"/>
      <c r="K1" s="70"/>
      <c r="L1" s="72">
        <v>2021</v>
      </c>
      <c r="M1" s="73"/>
      <c r="N1" s="74"/>
    </row>
    <row r="2" spans="1:14" s="10" customFormat="1" ht="63.75" customHeight="1" thickBot="1" x14ac:dyDescent="0.3">
      <c r="A2" s="11" t="s">
        <v>0</v>
      </c>
      <c r="B2" s="12" t="s">
        <v>21</v>
      </c>
      <c r="C2" s="44" t="s">
        <v>17</v>
      </c>
      <c r="D2" s="44" t="s">
        <v>16</v>
      </c>
      <c r="E2" s="13" t="s">
        <v>3</v>
      </c>
      <c r="F2" s="12" t="s">
        <v>14</v>
      </c>
      <c r="G2" s="16" t="s">
        <v>18</v>
      </c>
      <c r="H2" s="15" t="s">
        <v>24</v>
      </c>
      <c r="I2" s="15" t="s">
        <v>25</v>
      </c>
      <c r="J2" s="52" t="s">
        <v>27</v>
      </c>
      <c r="K2" s="62" t="s">
        <v>26</v>
      </c>
      <c r="L2" s="71" t="s">
        <v>32</v>
      </c>
    </row>
    <row r="3" spans="1:14" x14ac:dyDescent="0.25">
      <c r="A3" s="32" t="s">
        <v>4</v>
      </c>
      <c r="B3" s="18" t="s">
        <v>15</v>
      </c>
      <c r="C3" s="45">
        <v>8.5307999999999993</v>
      </c>
      <c r="D3" s="45">
        <v>3</v>
      </c>
      <c r="E3" s="4">
        <f>D3*60*10</f>
        <v>1800</v>
      </c>
      <c r="F3" s="5">
        <f>E3*0.6</f>
        <v>1080</v>
      </c>
      <c r="G3" s="19"/>
      <c r="H3" s="59" t="s">
        <v>28</v>
      </c>
      <c r="I3" s="38">
        <v>1000</v>
      </c>
      <c r="J3" s="53" t="s">
        <v>29</v>
      </c>
      <c r="K3" s="63">
        <v>12000</v>
      </c>
      <c r="L3" s="64">
        <v>8000</v>
      </c>
    </row>
    <row r="4" spans="1:14" x14ac:dyDescent="0.25">
      <c r="A4" s="33"/>
      <c r="B4" s="20" t="s">
        <v>1</v>
      </c>
      <c r="C4" s="46">
        <v>10.535399999999999</v>
      </c>
      <c r="D4" s="46">
        <v>5.25</v>
      </c>
      <c r="E4" s="14">
        <f t="shared" ref="E4:E56" si="0">D4*60*10</f>
        <v>3150</v>
      </c>
      <c r="F4" s="3">
        <f t="shared" ref="F4:F56" si="1">E4*0.6</f>
        <v>1890</v>
      </c>
      <c r="G4" s="21"/>
      <c r="H4" s="60"/>
      <c r="I4" s="39"/>
      <c r="J4" s="54"/>
      <c r="K4" s="27"/>
      <c r="L4" s="187"/>
    </row>
    <row r="5" spans="1:14" x14ac:dyDescent="0.25">
      <c r="A5" s="33"/>
      <c r="B5" s="20" t="s">
        <v>19</v>
      </c>
      <c r="C5" s="46">
        <v>12.54</v>
      </c>
      <c r="D5" s="46">
        <v>8.25</v>
      </c>
      <c r="E5" s="14">
        <f t="shared" si="0"/>
        <v>4950</v>
      </c>
      <c r="F5" s="3">
        <f t="shared" si="1"/>
        <v>2970</v>
      </c>
      <c r="G5" s="21"/>
      <c r="H5" s="60"/>
      <c r="I5" s="39"/>
      <c r="J5" s="54"/>
      <c r="K5" s="27"/>
      <c r="L5" s="187"/>
    </row>
    <row r="6" spans="1:14" x14ac:dyDescent="0.25">
      <c r="A6" s="33"/>
      <c r="B6" s="65" t="s">
        <v>7</v>
      </c>
      <c r="C6" s="66">
        <v>14.544599999999999</v>
      </c>
      <c r="D6" s="66">
        <v>12.25</v>
      </c>
      <c r="E6" s="67">
        <f t="shared" si="0"/>
        <v>7350</v>
      </c>
      <c r="F6" s="3">
        <f t="shared" si="1"/>
        <v>4410</v>
      </c>
      <c r="G6" s="21"/>
      <c r="H6" s="60"/>
      <c r="I6" s="39"/>
      <c r="J6" s="54"/>
      <c r="K6" s="27"/>
      <c r="L6" s="187"/>
    </row>
    <row r="7" spans="1:14" x14ac:dyDescent="0.25">
      <c r="A7" s="33"/>
      <c r="B7" s="20" t="s">
        <v>20</v>
      </c>
      <c r="C7" s="46">
        <v>16.549199999999999</v>
      </c>
      <c r="D7" s="46">
        <v>17</v>
      </c>
      <c r="E7" s="14">
        <f t="shared" si="0"/>
        <v>10200</v>
      </c>
      <c r="F7" s="3">
        <f t="shared" si="1"/>
        <v>6120</v>
      </c>
      <c r="G7" s="21"/>
      <c r="H7" s="60"/>
      <c r="I7" s="39"/>
      <c r="J7" s="54"/>
      <c r="K7" s="27"/>
      <c r="L7" s="187"/>
    </row>
    <row r="8" spans="1:14" ht="15.75" thickBot="1" x14ac:dyDescent="0.3">
      <c r="A8" s="34"/>
      <c r="B8" s="22" t="s">
        <v>2</v>
      </c>
      <c r="C8" s="47">
        <v>18.553799999999999</v>
      </c>
      <c r="D8" s="47">
        <v>22.75</v>
      </c>
      <c r="E8" s="23">
        <f t="shared" si="0"/>
        <v>13650</v>
      </c>
      <c r="F8" s="7">
        <f t="shared" si="1"/>
        <v>8190</v>
      </c>
      <c r="G8" s="24"/>
      <c r="H8" s="61"/>
      <c r="I8" s="40"/>
      <c r="J8" s="55"/>
      <c r="K8" s="28"/>
      <c r="L8" s="188"/>
    </row>
    <row r="9" spans="1:14" x14ac:dyDescent="0.25">
      <c r="A9" s="32" t="s">
        <v>5</v>
      </c>
      <c r="B9" s="18" t="s">
        <v>15</v>
      </c>
      <c r="C9" s="9">
        <v>10.9534</v>
      </c>
      <c r="D9" s="9">
        <v>17.993436903320003</v>
      </c>
      <c r="E9" s="4">
        <f t="shared" si="0"/>
        <v>10796.062141992003</v>
      </c>
      <c r="F9" s="5">
        <f t="shared" si="1"/>
        <v>6477.637285195201</v>
      </c>
      <c r="G9" s="25"/>
      <c r="H9" s="59">
        <v>13000</v>
      </c>
      <c r="I9" s="38" t="s">
        <v>30</v>
      </c>
      <c r="J9" s="53">
        <v>20000</v>
      </c>
      <c r="K9" s="26" t="s">
        <v>31</v>
      </c>
      <c r="L9" s="64">
        <v>70000</v>
      </c>
    </row>
    <row r="10" spans="1:14" x14ac:dyDescent="0.25">
      <c r="A10" s="33"/>
      <c r="B10" s="20" t="s">
        <v>1</v>
      </c>
      <c r="C10" s="48">
        <v>14.4465</v>
      </c>
      <c r="D10" s="48">
        <v>31.607416450153536</v>
      </c>
      <c r="E10" s="14">
        <f t="shared" si="0"/>
        <v>18964.449870092121</v>
      </c>
      <c r="F10" s="3">
        <f t="shared" si="1"/>
        <v>11378.669922055273</v>
      </c>
      <c r="G10" s="21"/>
      <c r="H10" s="60"/>
      <c r="I10" s="39"/>
      <c r="J10" s="54"/>
      <c r="K10" s="27"/>
      <c r="L10" s="187"/>
    </row>
    <row r="11" spans="1:14" x14ac:dyDescent="0.25">
      <c r="A11" s="33"/>
      <c r="B11" s="20" t="s">
        <v>19</v>
      </c>
      <c r="C11" s="48">
        <v>17.939599999999999</v>
      </c>
      <c r="D11" s="48">
        <v>52.221926383591068</v>
      </c>
      <c r="E11" s="14">
        <f t="shared" si="0"/>
        <v>31333.155830154643</v>
      </c>
      <c r="F11" s="3">
        <f t="shared" si="1"/>
        <v>18799.893498092784</v>
      </c>
      <c r="G11" s="21"/>
      <c r="H11" s="60"/>
      <c r="I11" s="39"/>
      <c r="J11" s="54"/>
      <c r="K11" s="27"/>
      <c r="L11" s="187"/>
    </row>
    <row r="12" spans="1:14" x14ac:dyDescent="0.25">
      <c r="A12" s="33"/>
      <c r="B12" s="65" t="s">
        <v>7</v>
      </c>
      <c r="C12" s="66">
        <v>21.432700000000001</v>
      </c>
      <c r="D12" s="66">
        <v>96.858810588530389</v>
      </c>
      <c r="E12" s="67">
        <f t="shared" si="0"/>
        <v>58115.286353118237</v>
      </c>
      <c r="F12" s="3">
        <f t="shared" si="1"/>
        <v>34869.17181187094</v>
      </c>
      <c r="G12" s="21"/>
      <c r="H12" s="60"/>
      <c r="I12" s="39"/>
      <c r="J12" s="54"/>
      <c r="K12" s="27"/>
      <c r="L12" s="187"/>
    </row>
    <row r="13" spans="1:14" x14ac:dyDescent="0.25">
      <c r="A13" s="33"/>
      <c r="B13" s="20" t="s">
        <v>20</v>
      </c>
      <c r="C13" s="48">
        <v>24.925799999999999</v>
      </c>
      <c r="D13" s="48">
        <v>135.85792262258204</v>
      </c>
      <c r="E13" s="14">
        <f t="shared" si="0"/>
        <v>81514.753573549227</v>
      </c>
      <c r="F13" s="3">
        <f t="shared" si="1"/>
        <v>48908.852144129538</v>
      </c>
      <c r="G13" s="21"/>
      <c r="H13" s="60"/>
      <c r="I13" s="39"/>
      <c r="J13" s="54"/>
      <c r="K13" s="27"/>
      <c r="L13" s="187"/>
    </row>
    <row r="14" spans="1:14" ht="15.75" thickBot="1" x14ac:dyDescent="0.3">
      <c r="A14" s="34"/>
      <c r="B14" s="22" t="s">
        <v>2</v>
      </c>
      <c r="C14" s="49">
        <v>28.418900000000001</v>
      </c>
      <c r="D14" s="49">
        <v>177.89110316841732</v>
      </c>
      <c r="E14" s="23">
        <f t="shared" si="0"/>
        <v>106734.66190105039</v>
      </c>
      <c r="F14" s="7">
        <f t="shared" si="1"/>
        <v>64040.797140630231</v>
      </c>
      <c r="G14" s="24"/>
      <c r="H14" s="61"/>
      <c r="I14" s="40"/>
      <c r="J14" s="55"/>
      <c r="K14" s="28"/>
      <c r="L14" s="188"/>
    </row>
    <row r="15" spans="1:14" x14ac:dyDescent="0.25">
      <c r="A15" s="32" t="s">
        <v>8</v>
      </c>
      <c r="B15" s="18" t="s">
        <v>15</v>
      </c>
      <c r="C15" s="9">
        <v>12.1629</v>
      </c>
      <c r="D15" s="9">
        <v>20.5</v>
      </c>
      <c r="E15" s="4">
        <f t="shared" si="0"/>
        <v>12300</v>
      </c>
      <c r="F15" s="5">
        <f t="shared" si="1"/>
        <v>7380</v>
      </c>
      <c r="G15" s="25"/>
      <c r="H15" s="59" t="s">
        <v>33</v>
      </c>
      <c r="I15" s="35" t="s">
        <v>34</v>
      </c>
      <c r="J15" s="53" t="s">
        <v>35</v>
      </c>
      <c r="K15" s="26" t="s">
        <v>36</v>
      </c>
      <c r="L15" s="64">
        <v>60000</v>
      </c>
    </row>
    <row r="16" spans="1:14" x14ac:dyDescent="0.25">
      <c r="A16" s="33"/>
      <c r="B16" s="20" t="s">
        <v>1</v>
      </c>
      <c r="C16" s="48">
        <v>17.9224</v>
      </c>
      <c r="D16" s="48">
        <v>42.25</v>
      </c>
      <c r="E16" s="14">
        <f t="shared" si="0"/>
        <v>25350</v>
      </c>
      <c r="F16" s="3">
        <f t="shared" si="1"/>
        <v>15210</v>
      </c>
      <c r="G16" s="21"/>
      <c r="H16" s="60"/>
      <c r="I16" s="36"/>
      <c r="J16" s="54"/>
      <c r="K16" s="27"/>
      <c r="L16" s="187"/>
    </row>
    <row r="17" spans="1:12" x14ac:dyDescent="0.25">
      <c r="A17" s="33"/>
      <c r="B17" s="20" t="s">
        <v>19</v>
      </c>
      <c r="C17" s="48">
        <v>23.681900000000002</v>
      </c>
      <c r="D17" s="48">
        <v>75.25</v>
      </c>
      <c r="E17" s="14">
        <f t="shared" si="0"/>
        <v>45150</v>
      </c>
      <c r="F17" s="3">
        <f t="shared" si="1"/>
        <v>27090</v>
      </c>
      <c r="G17" s="21"/>
      <c r="H17" s="60"/>
      <c r="I17" s="36"/>
      <c r="J17" s="54"/>
      <c r="K17" s="27"/>
      <c r="L17" s="187"/>
    </row>
    <row r="18" spans="1:12" x14ac:dyDescent="0.25">
      <c r="A18" s="33"/>
      <c r="B18" s="65" t="s">
        <v>7</v>
      </c>
      <c r="C18" s="66">
        <v>29.441400000000002</v>
      </c>
      <c r="D18" s="66">
        <v>102.25</v>
      </c>
      <c r="E18" s="67">
        <f t="shared" si="0"/>
        <v>61350</v>
      </c>
      <c r="F18" s="3">
        <f t="shared" si="1"/>
        <v>36810</v>
      </c>
      <c r="G18" s="21"/>
      <c r="H18" s="60"/>
      <c r="I18" s="36"/>
      <c r="J18" s="54"/>
      <c r="K18" s="27"/>
      <c r="L18" s="187"/>
    </row>
    <row r="19" spans="1:12" x14ac:dyDescent="0.25">
      <c r="A19" s="33"/>
      <c r="B19" s="20" t="s">
        <v>20</v>
      </c>
      <c r="C19" s="48">
        <v>35.200899999999997</v>
      </c>
      <c r="D19" s="48">
        <v>151.25</v>
      </c>
      <c r="E19" s="14">
        <f t="shared" si="0"/>
        <v>90750</v>
      </c>
      <c r="F19" s="3">
        <f t="shared" si="1"/>
        <v>54450</v>
      </c>
      <c r="G19" s="21"/>
      <c r="H19" s="60"/>
      <c r="I19" s="36"/>
      <c r="J19" s="54"/>
      <c r="K19" s="27"/>
      <c r="L19" s="187"/>
    </row>
    <row r="20" spans="1:12" ht="15.75" thickBot="1" x14ac:dyDescent="0.3">
      <c r="A20" s="34"/>
      <c r="B20" s="22" t="s">
        <v>2</v>
      </c>
      <c r="C20" s="49">
        <v>40.9604</v>
      </c>
      <c r="D20" s="49">
        <v>251.25</v>
      </c>
      <c r="E20" s="23">
        <f t="shared" si="0"/>
        <v>150750</v>
      </c>
      <c r="F20" s="7">
        <f t="shared" si="1"/>
        <v>90450</v>
      </c>
      <c r="G20" s="24"/>
      <c r="H20" s="61"/>
      <c r="I20" s="37"/>
      <c r="J20" s="55"/>
      <c r="K20" s="28"/>
      <c r="L20" s="188"/>
    </row>
    <row r="21" spans="1:12" x14ac:dyDescent="0.25">
      <c r="A21" s="32" t="s">
        <v>6</v>
      </c>
      <c r="B21" s="18" t="s">
        <v>15</v>
      </c>
      <c r="C21" s="51" t="s">
        <v>23</v>
      </c>
      <c r="D21" s="9" t="s">
        <v>23</v>
      </c>
      <c r="E21" s="4" t="s">
        <v>23</v>
      </c>
      <c r="F21" s="5" t="e">
        <f t="shared" si="1"/>
        <v>#VALUE!</v>
      </c>
      <c r="G21" s="25"/>
      <c r="H21" s="59" t="s">
        <v>23</v>
      </c>
      <c r="I21" s="41" t="s">
        <v>37</v>
      </c>
      <c r="J21" s="53">
        <v>30000</v>
      </c>
      <c r="K21" s="26" t="s">
        <v>38</v>
      </c>
      <c r="L21" s="64" t="s">
        <v>91</v>
      </c>
    </row>
    <row r="22" spans="1:12" x14ac:dyDescent="0.25">
      <c r="A22" s="33"/>
      <c r="B22" s="20" t="s">
        <v>1</v>
      </c>
      <c r="C22" s="46">
        <v>8.2416</v>
      </c>
      <c r="D22" s="46">
        <v>7.5</v>
      </c>
      <c r="E22" s="14">
        <f t="shared" si="0"/>
        <v>4500</v>
      </c>
      <c r="F22" s="3">
        <f t="shared" si="1"/>
        <v>2700</v>
      </c>
      <c r="G22" s="21"/>
      <c r="H22" s="60"/>
      <c r="I22" s="42"/>
      <c r="J22" s="54"/>
      <c r="K22" s="27"/>
      <c r="L22" s="187"/>
    </row>
    <row r="23" spans="1:12" x14ac:dyDescent="0.25">
      <c r="A23" s="33"/>
      <c r="B23" s="20" t="s">
        <v>19</v>
      </c>
      <c r="C23" s="46">
        <v>16.654600000000002</v>
      </c>
      <c r="D23" s="46">
        <v>29</v>
      </c>
      <c r="E23" s="14">
        <f t="shared" si="0"/>
        <v>17400</v>
      </c>
      <c r="F23" s="3">
        <f t="shared" si="1"/>
        <v>10440</v>
      </c>
      <c r="G23" s="21"/>
      <c r="H23" s="60"/>
      <c r="I23" s="42"/>
      <c r="J23" s="54"/>
      <c r="K23" s="27"/>
      <c r="L23" s="187"/>
    </row>
    <row r="24" spans="1:12" x14ac:dyDescent="0.25">
      <c r="A24" s="33"/>
      <c r="B24" s="65" t="s">
        <v>7</v>
      </c>
      <c r="C24" s="66">
        <v>25.067599999999999</v>
      </c>
      <c r="D24" s="66">
        <v>99</v>
      </c>
      <c r="E24" s="67">
        <f t="shared" si="0"/>
        <v>59400</v>
      </c>
      <c r="F24" s="3">
        <f t="shared" si="1"/>
        <v>35640</v>
      </c>
      <c r="G24" s="21"/>
      <c r="H24" s="60"/>
      <c r="I24" s="42"/>
      <c r="J24" s="54"/>
      <c r="K24" s="27"/>
      <c r="L24" s="187"/>
    </row>
    <row r="25" spans="1:12" x14ac:dyDescent="0.25">
      <c r="A25" s="33"/>
      <c r="B25" s="20" t="s">
        <v>20</v>
      </c>
      <c r="C25" s="48">
        <v>33.480599999999995</v>
      </c>
      <c r="D25" s="48">
        <v>400</v>
      </c>
      <c r="E25" s="14">
        <f t="shared" si="0"/>
        <v>240000</v>
      </c>
      <c r="F25" s="3">
        <f t="shared" si="1"/>
        <v>144000</v>
      </c>
      <c r="G25" s="21"/>
      <c r="H25" s="60"/>
      <c r="I25" s="42"/>
      <c r="J25" s="54"/>
      <c r="K25" s="27"/>
      <c r="L25" s="187"/>
    </row>
    <row r="26" spans="1:12" ht="15.75" thickBot="1" x14ac:dyDescent="0.3">
      <c r="A26" s="34"/>
      <c r="B26" s="22" t="s">
        <v>2</v>
      </c>
      <c r="C26" s="49">
        <v>41.893599999999999</v>
      </c>
      <c r="D26" s="49">
        <v>920</v>
      </c>
      <c r="E26" s="23">
        <f t="shared" si="0"/>
        <v>552000</v>
      </c>
      <c r="F26" s="7">
        <f t="shared" si="1"/>
        <v>331200</v>
      </c>
      <c r="G26" s="24"/>
      <c r="H26" s="61"/>
      <c r="I26" s="43"/>
      <c r="J26" s="55"/>
      <c r="K26" s="28"/>
      <c r="L26" s="188"/>
    </row>
    <row r="27" spans="1:12" x14ac:dyDescent="0.25">
      <c r="A27" s="32" t="s">
        <v>9</v>
      </c>
      <c r="B27" s="18" t="s">
        <v>15</v>
      </c>
      <c r="C27" s="9">
        <v>15.54795</v>
      </c>
      <c r="D27" s="9">
        <v>30.92173410639635</v>
      </c>
      <c r="E27" s="4">
        <f t="shared" si="0"/>
        <v>18553.04046383781</v>
      </c>
      <c r="F27" s="5">
        <f t="shared" si="1"/>
        <v>11131.824278302685</v>
      </c>
      <c r="G27" s="25"/>
      <c r="H27" s="59">
        <v>33000</v>
      </c>
      <c r="I27" s="41">
        <v>30000</v>
      </c>
      <c r="J27" s="53" t="s">
        <v>39</v>
      </c>
      <c r="K27" s="26" t="s">
        <v>40</v>
      </c>
      <c r="L27" s="64">
        <v>60000</v>
      </c>
    </row>
    <row r="28" spans="1:12" x14ac:dyDescent="0.25">
      <c r="A28" s="33"/>
      <c r="B28" s="20" t="s">
        <v>1</v>
      </c>
      <c r="C28" s="48">
        <v>19.520899999999997</v>
      </c>
      <c r="D28" s="48">
        <v>65.021734487866155</v>
      </c>
      <c r="E28" s="14">
        <f t="shared" si="0"/>
        <v>39013.040692719689</v>
      </c>
      <c r="F28" s="3">
        <f t="shared" si="1"/>
        <v>23407.824415631814</v>
      </c>
      <c r="G28" s="21"/>
      <c r="H28" s="60"/>
      <c r="I28" s="42"/>
      <c r="J28" s="54"/>
      <c r="K28" s="27"/>
      <c r="L28" s="187"/>
    </row>
    <row r="29" spans="1:12" x14ac:dyDescent="0.25">
      <c r="A29" s="33"/>
      <c r="B29" s="20" t="s">
        <v>19</v>
      </c>
      <c r="C29" s="48">
        <v>23.493849999999998</v>
      </c>
      <c r="D29" s="48">
        <v>110.02173067316865</v>
      </c>
      <c r="E29" s="14">
        <f t="shared" si="0"/>
        <v>66013.038403901184</v>
      </c>
      <c r="F29" s="3">
        <f t="shared" si="1"/>
        <v>39607.823042340708</v>
      </c>
      <c r="G29" s="21"/>
      <c r="H29" s="60"/>
      <c r="I29" s="42"/>
      <c r="J29" s="54"/>
      <c r="K29" s="27"/>
      <c r="L29" s="187"/>
    </row>
    <row r="30" spans="1:12" x14ac:dyDescent="0.25">
      <c r="A30" s="33"/>
      <c r="B30" s="65" t="s">
        <v>7</v>
      </c>
      <c r="C30" s="66">
        <v>27.466799999999999</v>
      </c>
      <c r="D30" s="66">
        <v>160.92173982844264</v>
      </c>
      <c r="E30" s="67">
        <f t="shared" si="0"/>
        <v>96553.043897065581</v>
      </c>
      <c r="F30" s="3">
        <f t="shared" si="1"/>
        <v>57931.826338239349</v>
      </c>
      <c r="G30" s="21"/>
      <c r="H30" s="60"/>
      <c r="I30" s="42"/>
      <c r="J30" s="54"/>
      <c r="K30" s="27"/>
      <c r="L30" s="187"/>
    </row>
    <row r="31" spans="1:12" x14ac:dyDescent="0.25">
      <c r="A31" s="33"/>
      <c r="B31" s="20" t="s">
        <v>20</v>
      </c>
      <c r="C31" s="48">
        <v>31.43975</v>
      </c>
      <c r="D31" s="48">
        <v>251.82173372492664</v>
      </c>
      <c r="E31" s="14">
        <f t="shared" si="0"/>
        <v>151093.04023495599</v>
      </c>
      <c r="F31" s="3">
        <f t="shared" si="1"/>
        <v>90655.824140973593</v>
      </c>
      <c r="G31" s="21"/>
      <c r="H31" s="60"/>
      <c r="I31" s="42"/>
      <c r="J31" s="54"/>
      <c r="K31" s="27"/>
      <c r="L31" s="187"/>
    </row>
    <row r="32" spans="1:12" ht="15.75" thickBot="1" x14ac:dyDescent="0.3">
      <c r="A32" s="34"/>
      <c r="B32" s="22" t="s">
        <v>2</v>
      </c>
      <c r="C32" s="49">
        <v>35.412700000000001</v>
      </c>
      <c r="D32" s="49">
        <v>421.82173372492667</v>
      </c>
      <c r="E32" s="23">
        <f t="shared" si="0"/>
        <v>253093.04023495599</v>
      </c>
      <c r="F32" s="7">
        <f t="shared" si="1"/>
        <v>151855.82414097359</v>
      </c>
      <c r="G32" s="24"/>
      <c r="H32" s="61"/>
      <c r="I32" s="43"/>
      <c r="J32" s="55"/>
      <c r="K32" s="28"/>
      <c r="L32" s="188"/>
    </row>
    <row r="33" spans="1:12" x14ac:dyDescent="0.25">
      <c r="A33" s="29" t="s">
        <v>10</v>
      </c>
      <c r="B33" s="18" t="s">
        <v>15</v>
      </c>
      <c r="C33" s="9">
        <v>15.6694</v>
      </c>
      <c r="D33" s="9">
        <v>40</v>
      </c>
      <c r="E33" s="4">
        <f t="shared" si="0"/>
        <v>24000</v>
      </c>
      <c r="F33" s="5">
        <f t="shared" si="1"/>
        <v>14400</v>
      </c>
      <c r="G33" s="25"/>
      <c r="H33" s="59">
        <v>44000</v>
      </c>
      <c r="I33" s="41">
        <v>40000</v>
      </c>
      <c r="J33" s="53" t="s">
        <v>41</v>
      </c>
      <c r="K33" s="26" t="s">
        <v>42</v>
      </c>
      <c r="L33" s="64">
        <v>45000</v>
      </c>
    </row>
    <row r="34" spans="1:12" x14ac:dyDescent="0.25">
      <c r="A34" s="30"/>
      <c r="B34" s="20" t="s">
        <v>1</v>
      </c>
      <c r="C34" s="48">
        <v>19.072800000000001</v>
      </c>
      <c r="D34" s="48">
        <v>57.5</v>
      </c>
      <c r="E34" s="14">
        <f t="shared" si="0"/>
        <v>34500</v>
      </c>
      <c r="F34" s="3">
        <f t="shared" si="1"/>
        <v>20700</v>
      </c>
      <c r="G34" s="21"/>
      <c r="H34" s="60"/>
      <c r="I34" s="42"/>
      <c r="J34" s="54"/>
      <c r="K34" s="27"/>
      <c r="L34" s="187"/>
    </row>
    <row r="35" spans="1:12" x14ac:dyDescent="0.25">
      <c r="A35" s="30"/>
      <c r="B35" s="20" t="s">
        <v>19</v>
      </c>
      <c r="C35" s="48">
        <v>22.476199999999999</v>
      </c>
      <c r="D35" s="48">
        <v>80</v>
      </c>
      <c r="E35" s="14">
        <f t="shared" si="0"/>
        <v>48000</v>
      </c>
      <c r="F35" s="3">
        <f t="shared" si="1"/>
        <v>28800</v>
      </c>
      <c r="G35" s="21"/>
      <c r="H35" s="60"/>
      <c r="I35" s="42"/>
      <c r="J35" s="54"/>
      <c r="K35" s="27"/>
      <c r="L35" s="187"/>
    </row>
    <row r="36" spans="1:12" x14ac:dyDescent="0.25">
      <c r="A36" s="30"/>
      <c r="B36" s="65" t="s">
        <v>7</v>
      </c>
      <c r="C36" s="66">
        <v>25.8796</v>
      </c>
      <c r="D36" s="66">
        <v>100</v>
      </c>
      <c r="E36" s="67">
        <f t="shared" si="0"/>
        <v>60000</v>
      </c>
      <c r="F36" s="3">
        <f t="shared" si="1"/>
        <v>36000</v>
      </c>
      <c r="G36" s="21"/>
      <c r="H36" s="60"/>
      <c r="I36" s="42"/>
      <c r="J36" s="54"/>
      <c r="K36" s="27"/>
      <c r="L36" s="187"/>
    </row>
    <row r="37" spans="1:12" x14ac:dyDescent="0.25">
      <c r="A37" s="30"/>
      <c r="B37" s="20" t="s">
        <v>20</v>
      </c>
      <c r="C37" s="48">
        <v>29.283000000000001</v>
      </c>
      <c r="D37" s="48">
        <v>130</v>
      </c>
      <c r="E37" s="14">
        <f t="shared" si="0"/>
        <v>78000</v>
      </c>
      <c r="F37" s="3">
        <f t="shared" si="1"/>
        <v>46800</v>
      </c>
      <c r="G37" s="21"/>
      <c r="H37" s="60"/>
      <c r="I37" s="42"/>
      <c r="J37" s="54"/>
      <c r="K37" s="27"/>
      <c r="L37" s="187"/>
    </row>
    <row r="38" spans="1:12" ht="15.75" thickBot="1" x14ac:dyDescent="0.3">
      <c r="A38" s="31"/>
      <c r="B38" s="22" t="s">
        <v>2</v>
      </c>
      <c r="C38" s="49">
        <v>32.686399999999999</v>
      </c>
      <c r="D38" s="49">
        <v>170</v>
      </c>
      <c r="E38" s="23">
        <f t="shared" si="0"/>
        <v>102000</v>
      </c>
      <c r="F38" s="7">
        <f t="shared" si="1"/>
        <v>61200</v>
      </c>
      <c r="G38" s="24"/>
      <c r="H38" s="61"/>
      <c r="I38" s="43"/>
      <c r="J38" s="55"/>
      <c r="K38" s="28"/>
      <c r="L38" s="188"/>
    </row>
    <row r="39" spans="1:12" x14ac:dyDescent="0.25">
      <c r="A39" s="29" t="s">
        <v>11</v>
      </c>
      <c r="B39" s="18" t="s">
        <v>15</v>
      </c>
      <c r="C39" s="9">
        <v>17.612499999999997</v>
      </c>
      <c r="D39" s="9">
        <v>3.4416418594991431</v>
      </c>
      <c r="E39" s="4">
        <f t="shared" si="0"/>
        <v>2064.985115699486</v>
      </c>
      <c r="F39" s="5">
        <f t="shared" si="1"/>
        <v>1238.9910694196915</v>
      </c>
      <c r="G39" s="25"/>
      <c r="H39" s="59" t="s">
        <v>43</v>
      </c>
      <c r="I39" s="35" t="s">
        <v>44</v>
      </c>
      <c r="J39" s="56" t="s">
        <v>45</v>
      </c>
      <c r="K39" s="26" t="s">
        <v>46</v>
      </c>
      <c r="L39" s="64" t="s">
        <v>92</v>
      </c>
    </row>
    <row r="40" spans="1:12" x14ac:dyDescent="0.25">
      <c r="A40" s="30"/>
      <c r="B40" s="20" t="s">
        <v>1</v>
      </c>
      <c r="C40" s="48">
        <v>23.777999999999999</v>
      </c>
      <c r="D40" s="48">
        <v>8.9827828528736759</v>
      </c>
      <c r="E40" s="14">
        <f t="shared" si="0"/>
        <v>5389.6697117242056</v>
      </c>
      <c r="F40" s="3">
        <f t="shared" si="1"/>
        <v>3233.8018270345233</v>
      </c>
      <c r="G40" s="21"/>
      <c r="H40" s="60"/>
      <c r="I40" s="36"/>
      <c r="J40" s="57"/>
      <c r="K40" s="27"/>
      <c r="L40" s="187"/>
    </row>
    <row r="41" spans="1:12" x14ac:dyDescent="0.25">
      <c r="A41" s="30"/>
      <c r="B41" s="20" t="s">
        <v>19</v>
      </c>
      <c r="C41" s="48">
        <v>29.943499999999997</v>
      </c>
      <c r="D41" s="48">
        <v>16.282703754887415</v>
      </c>
      <c r="E41" s="14">
        <f t="shared" si="0"/>
        <v>9769.6222529324477</v>
      </c>
      <c r="F41" s="3">
        <f t="shared" si="1"/>
        <v>5861.7733517594688</v>
      </c>
      <c r="G41" s="21"/>
      <c r="H41" s="60"/>
      <c r="I41" s="36"/>
      <c r="J41" s="57"/>
      <c r="K41" s="27"/>
      <c r="L41" s="187"/>
    </row>
    <row r="42" spans="1:12" x14ac:dyDescent="0.25">
      <c r="A42" s="30"/>
      <c r="B42" s="65" t="s">
        <v>7</v>
      </c>
      <c r="C42" s="66">
        <v>36.108999999999995</v>
      </c>
      <c r="D42" s="66">
        <v>28.46652442016115</v>
      </c>
      <c r="E42" s="67">
        <f t="shared" si="0"/>
        <v>17079.91465209669</v>
      </c>
      <c r="F42" s="3">
        <f t="shared" si="1"/>
        <v>10247.948791258013</v>
      </c>
      <c r="G42" s="21"/>
      <c r="H42" s="60"/>
      <c r="I42" s="36"/>
      <c r="J42" s="57"/>
      <c r="K42" s="27"/>
      <c r="L42" s="187"/>
    </row>
    <row r="43" spans="1:12" x14ac:dyDescent="0.25">
      <c r="A43" s="30"/>
      <c r="B43" s="20" t="s">
        <v>20</v>
      </c>
      <c r="C43" s="48">
        <v>42.274500000000003</v>
      </c>
      <c r="D43" s="48">
        <v>47.19223215332682</v>
      </c>
      <c r="E43" s="14">
        <f t="shared" si="0"/>
        <v>28315.339291996093</v>
      </c>
      <c r="F43" s="3">
        <f t="shared" si="1"/>
        <v>16989.203575197655</v>
      </c>
      <c r="G43" s="21"/>
      <c r="H43" s="60"/>
      <c r="I43" s="36"/>
      <c r="J43" s="57"/>
      <c r="K43" s="27"/>
      <c r="L43" s="187"/>
    </row>
    <row r="44" spans="1:12" ht="15.75" thickBot="1" x14ac:dyDescent="0.3">
      <c r="A44" s="31"/>
      <c r="B44" s="22" t="s">
        <v>2</v>
      </c>
      <c r="C44" s="49">
        <v>48.44</v>
      </c>
      <c r="D44" s="49">
        <v>68.383861297609727</v>
      </c>
      <c r="E44" s="23">
        <f t="shared" si="0"/>
        <v>41030.316778565837</v>
      </c>
      <c r="F44" s="7">
        <f t="shared" si="1"/>
        <v>24618.190067139501</v>
      </c>
      <c r="G44" s="24"/>
      <c r="H44" s="61"/>
      <c r="I44" s="37"/>
      <c r="J44" s="58"/>
      <c r="K44" s="28"/>
      <c r="L44" s="188"/>
    </row>
    <row r="45" spans="1:12" x14ac:dyDescent="0.25">
      <c r="A45" s="32" t="s">
        <v>12</v>
      </c>
      <c r="B45" s="18" t="s">
        <v>15</v>
      </c>
      <c r="C45" s="51" t="s">
        <v>23</v>
      </c>
      <c r="D45" s="9" t="s">
        <v>23</v>
      </c>
      <c r="E45" s="4" t="s">
        <v>23</v>
      </c>
      <c r="F45" s="5" t="e">
        <f t="shared" si="1"/>
        <v>#VALUE!</v>
      </c>
      <c r="G45" s="25"/>
      <c r="H45" s="59" t="s">
        <v>23</v>
      </c>
      <c r="I45" s="35" t="s">
        <v>23</v>
      </c>
      <c r="J45" s="53" t="s">
        <v>47</v>
      </c>
      <c r="K45" s="26" t="s">
        <v>48</v>
      </c>
      <c r="L45" s="64" t="s">
        <v>93</v>
      </c>
    </row>
    <row r="46" spans="1:12" x14ac:dyDescent="0.25">
      <c r="A46" s="33"/>
      <c r="B46" s="20" t="s">
        <v>1</v>
      </c>
      <c r="C46" s="48">
        <v>6.886000000000001</v>
      </c>
      <c r="D46" s="48">
        <v>2.5</v>
      </c>
      <c r="E46" s="14">
        <f t="shared" si="0"/>
        <v>1500</v>
      </c>
      <c r="F46" s="3">
        <f t="shared" si="1"/>
        <v>900</v>
      </c>
      <c r="G46" s="21"/>
      <c r="H46" s="60"/>
      <c r="I46" s="36"/>
      <c r="J46" s="54"/>
      <c r="K46" s="27"/>
      <c r="L46" s="187"/>
    </row>
    <row r="47" spans="1:12" x14ac:dyDescent="0.25">
      <c r="A47" s="33"/>
      <c r="B47" s="20" t="s">
        <v>19</v>
      </c>
      <c r="C47" s="48">
        <v>14.735000000000001</v>
      </c>
      <c r="D47" s="48">
        <v>33</v>
      </c>
      <c r="E47" s="14">
        <f t="shared" si="0"/>
        <v>19800</v>
      </c>
      <c r="F47" s="3">
        <f t="shared" si="1"/>
        <v>11880</v>
      </c>
      <c r="G47" s="21"/>
      <c r="H47" s="60"/>
      <c r="I47" s="36"/>
      <c r="J47" s="54"/>
      <c r="K47" s="27"/>
      <c r="L47" s="187"/>
    </row>
    <row r="48" spans="1:12" x14ac:dyDescent="0.25">
      <c r="A48" s="33"/>
      <c r="B48" s="65" t="s">
        <v>7</v>
      </c>
      <c r="C48" s="66">
        <v>22.584000000000003</v>
      </c>
      <c r="D48" s="66">
        <v>116</v>
      </c>
      <c r="E48" s="67">
        <f t="shared" si="0"/>
        <v>69600</v>
      </c>
      <c r="F48" s="3">
        <f t="shared" si="1"/>
        <v>41760</v>
      </c>
      <c r="G48" s="21"/>
      <c r="H48" s="60"/>
      <c r="I48" s="36"/>
      <c r="J48" s="54"/>
      <c r="K48" s="27"/>
      <c r="L48" s="187"/>
    </row>
    <row r="49" spans="1:12" x14ac:dyDescent="0.25">
      <c r="A49" s="33"/>
      <c r="B49" s="20" t="s">
        <v>20</v>
      </c>
      <c r="C49" s="48">
        <v>30.433000000000007</v>
      </c>
      <c r="D49" s="48">
        <v>246</v>
      </c>
      <c r="E49" s="14">
        <f t="shared" si="0"/>
        <v>147600</v>
      </c>
      <c r="F49" s="3">
        <f t="shared" si="1"/>
        <v>88560</v>
      </c>
      <c r="G49" s="21"/>
      <c r="H49" s="60"/>
      <c r="I49" s="36"/>
      <c r="J49" s="54"/>
      <c r="K49" s="27"/>
      <c r="L49" s="187"/>
    </row>
    <row r="50" spans="1:12" ht="15.75" thickBot="1" x14ac:dyDescent="0.3">
      <c r="A50" s="34"/>
      <c r="B50" s="22" t="s">
        <v>2</v>
      </c>
      <c r="C50" s="49">
        <v>38.282000000000004</v>
      </c>
      <c r="D50" s="49">
        <v>421</v>
      </c>
      <c r="E50" s="23">
        <f t="shared" si="0"/>
        <v>252600</v>
      </c>
      <c r="F50" s="7">
        <f t="shared" si="1"/>
        <v>151560</v>
      </c>
      <c r="G50" s="24"/>
      <c r="H50" s="61"/>
      <c r="I50" s="37"/>
      <c r="J50" s="55"/>
      <c r="K50" s="28"/>
      <c r="L50" s="188"/>
    </row>
    <row r="51" spans="1:12" x14ac:dyDescent="0.25">
      <c r="A51" s="32" t="s">
        <v>13</v>
      </c>
      <c r="B51" s="18" t="s">
        <v>15</v>
      </c>
      <c r="C51" s="9">
        <v>6.8573000000000004</v>
      </c>
      <c r="D51" s="9">
        <v>0.75</v>
      </c>
      <c r="E51" s="4">
        <f t="shared" si="0"/>
        <v>450</v>
      </c>
      <c r="F51" s="5">
        <f t="shared" si="1"/>
        <v>270</v>
      </c>
      <c r="G51" s="25"/>
      <c r="H51" s="59" t="s">
        <v>23</v>
      </c>
      <c r="I51" s="35" t="s">
        <v>49</v>
      </c>
      <c r="J51" s="53" t="s">
        <v>50</v>
      </c>
      <c r="K51" s="26" t="s">
        <v>51</v>
      </c>
      <c r="L51" s="64" t="s">
        <v>94</v>
      </c>
    </row>
    <row r="52" spans="1:12" x14ac:dyDescent="0.25">
      <c r="A52" s="33"/>
      <c r="B52" s="20" t="s">
        <v>1</v>
      </c>
      <c r="C52" s="48">
        <v>13.2028</v>
      </c>
      <c r="D52" s="48">
        <v>5.75</v>
      </c>
      <c r="E52" s="14">
        <f t="shared" si="0"/>
        <v>3450</v>
      </c>
      <c r="F52" s="3">
        <f t="shared" si="1"/>
        <v>2070</v>
      </c>
      <c r="G52" s="21"/>
      <c r="H52" s="60"/>
      <c r="I52" s="36"/>
      <c r="J52" s="54"/>
      <c r="K52" s="27"/>
      <c r="L52" s="187"/>
    </row>
    <row r="53" spans="1:12" x14ac:dyDescent="0.25">
      <c r="A53" s="33"/>
      <c r="B53" s="20" t="s">
        <v>19</v>
      </c>
      <c r="C53" s="48">
        <v>19.548300000000001</v>
      </c>
      <c r="D53" s="48">
        <v>14.5</v>
      </c>
      <c r="E53" s="14">
        <f t="shared" si="0"/>
        <v>8700</v>
      </c>
      <c r="F53" s="3">
        <f t="shared" si="1"/>
        <v>5220</v>
      </c>
      <c r="G53" s="21"/>
      <c r="H53" s="60"/>
      <c r="I53" s="36"/>
      <c r="J53" s="54"/>
      <c r="K53" s="27"/>
      <c r="L53" s="187"/>
    </row>
    <row r="54" spans="1:12" x14ac:dyDescent="0.25">
      <c r="A54" s="33"/>
      <c r="B54" s="65" t="s">
        <v>7</v>
      </c>
      <c r="C54" s="66">
        <v>25.893800000000002</v>
      </c>
      <c r="D54" s="66">
        <v>28.5</v>
      </c>
      <c r="E54" s="67">
        <f t="shared" si="0"/>
        <v>17100</v>
      </c>
      <c r="F54" s="3">
        <f t="shared" si="1"/>
        <v>10260</v>
      </c>
      <c r="G54" s="21"/>
      <c r="H54" s="60"/>
      <c r="I54" s="36"/>
      <c r="J54" s="54"/>
      <c r="K54" s="27"/>
      <c r="L54" s="187"/>
    </row>
    <row r="55" spans="1:12" ht="14.25" customHeight="1" x14ac:dyDescent="0.25">
      <c r="A55" s="33"/>
      <c r="B55" s="20" t="s">
        <v>20</v>
      </c>
      <c r="C55" s="48">
        <v>32.2393</v>
      </c>
      <c r="D55" s="46">
        <v>54</v>
      </c>
      <c r="E55" s="14">
        <f t="shared" si="0"/>
        <v>32400</v>
      </c>
      <c r="F55" s="3">
        <f t="shared" si="1"/>
        <v>19440</v>
      </c>
      <c r="G55" s="21"/>
      <c r="H55" s="60"/>
      <c r="I55" s="36"/>
      <c r="J55" s="54"/>
      <c r="K55" s="27"/>
      <c r="L55" s="187"/>
    </row>
    <row r="56" spans="1:12" ht="15.75" thickBot="1" x14ac:dyDescent="0.3">
      <c r="A56" s="34"/>
      <c r="B56" s="22" t="s">
        <v>2</v>
      </c>
      <c r="C56" s="49">
        <v>38.584800000000001</v>
      </c>
      <c r="D56" s="47">
        <v>95</v>
      </c>
      <c r="E56" s="23">
        <f t="shared" si="0"/>
        <v>57000</v>
      </c>
      <c r="F56" s="7">
        <f t="shared" si="1"/>
        <v>34200</v>
      </c>
      <c r="G56" s="24"/>
      <c r="H56" s="61"/>
      <c r="I56" s="37"/>
      <c r="J56" s="55"/>
      <c r="K56" s="28"/>
      <c r="L56" s="188"/>
    </row>
    <row r="57" spans="1:12" x14ac:dyDescent="0.25">
      <c r="A57" t="s">
        <v>22</v>
      </c>
    </row>
  </sheetData>
  <mergeCells count="56">
    <mergeCell ref="L33:L38"/>
    <mergeCell ref="L39:L44"/>
    <mergeCell ref="L45:L50"/>
    <mergeCell ref="L51:L56"/>
    <mergeCell ref="L1:N1"/>
    <mergeCell ref="L3:L8"/>
    <mergeCell ref="L9:L14"/>
    <mergeCell ref="L15:L20"/>
    <mergeCell ref="L21:L26"/>
    <mergeCell ref="L27:L32"/>
    <mergeCell ref="H27:H32"/>
    <mergeCell ref="H33:H38"/>
    <mergeCell ref="H39:H44"/>
    <mergeCell ref="H45:H50"/>
    <mergeCell ref="H51:H56"/>
    <mergeCell ref="H3:H8"/>
    <mergeCell ref="H9:H14"/>
    <mergeCell ref="H15:H20"/>
    <mergeCell ref="H21:H26"/>
    <mergeCell ref="H1:K1"/>
    <mergeCell ref="A3:A8"/>
    <mergeCell ref="A9:A14"/>
    <mergeCell ref="A15:A20"/>
    <mergeCell ref="A21:A26"/>
    <mergeCell ref="A27:A32"/>
    <mergeCell ref="A33:A38"/>
    <mergeCell ref="I3:I8"/>
    <mergeCell ref="J3:J8"/>
    <mergeCell ref="J9:J14"/>
    <mergeCell ref="I9:I14"/>
    <mergeCell ref="I15:I20"/>
    <mergeCell ref="I21:I26"/>
    <mergeCell ref="I27:I32"/>
    <mergeCell ref="I33:I38"/>
    <mergeCell ref="J27:J32"/>
    <mergeCell ref="J33:J38"/>
    <mergeCell ref="A39:A44"/>
    <mergeCell ref="J45:J50"/>
    <mergeCell ref="A45:A50"/>
    <mergeCell ref="A51:A56"/>
    <mergeCell ref="I39:I44"/>
    <mergeCell ref="I45:I50"/>
    <mergeCell ref="I51:I56"/>
    <mergeCell ref="J51:J56"/>
    <mergeCell ref="K45:K50"/>
    <mergeCell ref="K51:K56"/>
    <mergeCell ref="K3:K8"/>
    <mergeCell ref="K9:K14"/>
    <mergeCell ref="K15:K20"/>
    <mergeCell ref="K21:K26"/>
    <mergeCell ref="K27:K32"/>
    <mergeCell ref="J15:J20"/>
    <mergeCell ref="J21:J26"/>
    <mergeCell ref="J39:J44"/>
    <mergeCell ref="K33:K38"/>
    <mergeCell ref="K39:K44"/>
  </mergeCells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DCA6-15E3-40BB-BB50-14311B8D59C6}">
  <dimension ref="A1:V41"/>
  <sheetViews>
    <sheetView workbookViewId="0">
      <pane xSplit="1" ySplit="8" topLeftCell="E9" activePane="bottomRight" state="frozen"/>
      <selection pane="topRight" activeCell="B1" sqref="B1"/>
      <selection pane="bottomLeft" activeCell="A9" sqref="A9"/>
      <selection pane="bottomRight" activeCell="A33" sqref="A33:A38"/>
    </sheetView>
  </sheetViews>
  <sheetFormatPr defaultRowHeight="15" x14ac:dyDescent="0.25"/>
  <cols>
    <col min="1" max="1" width="33.42578125" customWidth="1"/>
    <col min="2" max="2" width="9.7109375" customWidth="1"/>
    <col min="3" max="3" width="9" customWidth="1"/>
    <col min="4" max="4" width="9.140625" customWidth="1"/>
    <col min="5" max="5" width="6.85546875" customWidth="1"/>
    <col min="6" max="6" width="11.7109375" customWidth="1"/>
    <col min="7" max="7" width="7.28515625" customWidth="1"/>
    <col min="8" max="8" width="8.5703125" customWidth="1"/>
    <col min="9" max="9" width="7" customWidth="1"/>
    <col min="10" max="10" width="7.5703125" customWidth="1"/>
    <col min="11" max="11" width="13.28515625" customWidth="1"/>
    <col min="12" max="12" width="14.28515625" customWidth="1"/>
    <col min="13" max="13" width="13.28515625" customWidth="1"/>
    <col min="14" max="14" width="14.28515625" customWidth="1"/>
    <col min="15" max="15" width="12.85546875" style="17" customWidth="1"/>
    <col min="16" max="16" width="12.42578125" style="17" customWidth="1"/>
    <col min="17" max="17" width="13.28515625" customWidth="1"/>
    <col min="18" max="18" width="14.28515625" customWidth="1"/>
    <col min="19" max="19" width="33.28515625" style="10" customWidth="1"/>
  </cols>
  <sheetData>
    <row r="1" spans="1:22" x14ac:dyDescent="0.25">
      <c r="A1" s="2" t="s">
        <v>52</v>
      </c>
      <c r="B1" s="2"/>
      <c r="C1" s="2">
        <v>20</v>
      </c>
      <c r="E1" s="75"/>
      <c r="F1" s="76" t="s">
        <v>53</v>
      </c>
    </row>
    <row r="2" spans="1:22" x14ac:dyDescent="0.25">
      <c r="A2" s="2" t="s">
        <v>54</v>
      </c>
      <c r="B2" s="2"/>
      <c r="C2" s="2">
        <v>250</v>
      </c>
      <c r="E2" s="77"/>
      <c r="F2" s="76" t="s">
        <v>55</v>
      </c>
    </row>
    <row r="3" spans="1:22" ht="15.75" thickBot="1" x14ac:dyDescent="0.3">
      <c r="A3" s="2" t="s">
        <v>56</v>
      </c>
      <c r="B3" s="2"/>
      <c r="C3" s="78">
        <f>C1/(C2/1000)</f>
        <v>80</v>
      </c>
      <c r="E3" s="79"/>
      <c r="F3" s="76" t="s">
        <v>57</v>
      </c>
    </row>
    <row r="4" spans="1:22" ht="15.75" thickBot="1" x14ac:dyDescent="0.3">
      <c r="A4" s="2" t="s">
        <v>58</v>
      </c>
      <c r="B4" s="80"/>
      <c r="C4" s="81">
        <v>65</v>
      </c>
    </row>
    <row r="5" spans="1:22" ht="15.75" thickBot="1" x14ac:dyDescent="0.3"/>
    <row r="6" spans="1:22" ht="15.75" thickBot="1" x14ac:dyDescent="0.3">
      <c r="B6" s="189" t="s">
        <v>90</v>
      </c>
      <c r="C6" s="189"/>
      <c r="D6" s="189"/>
      <c r="E6" s="189"/>
      <c r="F6" s="189"/>
      <c r="G6" s="189"/>
      <c r="H6" s="189"/>
      <c r="I6" s="189"/>
      <c r="J6" s="190"/>
      <c r="K6" s="152">
        <v>2020</v>
      </c>
      <c r="L6" s="153"/>
      <c r="M6" s="153"/>
      <c r="N6" s="153"/>
      <c r="O6" s="153"/>
      <c r="P6" s="153"/>
      <c r="Q6" s="152">
        <v>2021</v>
      </c>
      <c r="R6" s="153"/>
      <c r="S6" s="153"/>
      <c r="T6" s="153"/>
      <c r="U6" s="153"/>
      <c r="V6" s="154"/>
    </row>
    <row r="7" spans="1:22" ht="47.25" customHeight="1" x14ac:dyDescent="0.25">
      <c r="A7" s="82" t="s">
        <v>59</v>
      </c>
      <c r="B7" s="83" t="s">
        <v>60</v>
      </c>
      <c r="C7" s="84" t="s">
        <v>61</v>
      </c>
      <c r="D7" s="85"/>
      <c r="E7" s="84" t="s">
        <v>62</v>
      </c>
      <c r="F7" s="85"/>
      <c r="G7" s="86" t="s">
        <v>63</v>
      </c>
      <c r="H7" s="87"/>
      <c r="I7" s="88" t="s">
        <v>64</v>
      </c>
      <c r="J7" s="89"/>
      <c r="K7" s="84" t="s">
        <v>78</v>
      </c>
      <c r="L7" s="90"/>
      <c r="M7" s="84" t="s">
        <v>79</v>
      </c>
      <c r="N7" s="90"/>
      <c r="O7" s="155" t="s">
        <v>81</v>
      </c>
      <c r="P7" s="156"/>
      <c r="Q7" s="165" t="s">
        <v>32</v>
      </c>
      <c r="R7" s="166"/>
    </row>
    <row r="8" spans="1:22" ht="15.75" thickBot="1" x14ac:dyDescent="0.3">
      <c r="A8" s="91"/>
      <c r="B8" s="92" t="s">
        <v>65</v>
      </c>
      <c r="C8" s="93" t="s">
        <v>66</v>
      </c>
      <c r="D8" s="94" t="s">
        <v>67</v>
      </c>
      <c r="E8" s="93" t="s">
        <v>68</v>
      </c>
      <c r="F8" s="94" t="s">
        <v>69</v>
      </c>
      <c r="G8" s="95" t="s">
        <v>66</v>
      </c>
      <c r="H8" s="96" t="s">
        <v>67</v>
      </c>
      <c r="I8" s="97" t="s">
        <v>66</v>
      </c>
      <c r="J8" s="98" t="s">
        <v>67</v>
      </c>
      <c r="K8" s="22" t="s">
        <v>66</v>
      </c>
      <c r="L8" s="6" t="s">
        <v>67</v>
      </c>
      <c r="M8" s="22" t="s">
        <v>66</v>
      </c>
      <c r="N8" s="6" t="s">
        <v>67</v>
      </c>
      <c r="O8" s="8" t="s">
        <v>66</v>
      </c>
      <c r="P8" s="157" t="s">
        <v>67</v>
      </c>
      <c r="Q8" s="167" t="s">
        <v>66</v>
      </c>
      <c r="R8" s="99" t="s">
        <v>67</v>
      </c>
      <c r="S8" s="181" t="s">
        <v>85</v>
      </c>
    </row>
    <row r="9" spans="1:22" x14ac:dyDescent="0.25">
      <c r="A9" s="127" t="s">
        <v>73</v>
      </c>
      <c r="B9" s="142">
        <v>0.5</v>
      </c>
      <c r="C9" s="101">
        <f>(17456*B9)-3086.5</f>
        <v>5641.5</v>
      </c>
      <c r="D9" s="102">
        <f>C9*7.48052</f>
        <v>42201.353580000003</v>
      </c>
      <c r="E9" s="101">
        <f>(2.0375*B9)+0.1468</f>
        <v>1.1655500000000001</v>
      </c>
      <c r="F9" s="102">
        <f>E9*448.8325</f>
        <v>523.13672037499998</v>
      </c>
      <c r="G9" s="103">
        <f>C9/$C$4</f>
        <v>86.792307692307688</v>
      </c>
      <c r="H9" s="25">
        <f>G9*7.48052</f>
        <v>649.25159353846152</v>
      </c>
      <c r="I9" s="104">
        <f>E9*60*5</f>
        <v>349.66500000000002</v>
      </c>
      <c r="J9" s="25">
        <f>I9*7.48052</f>
        <v>2615.6760258000004</v>
      </c>
      <c r="K9" s="113"/>
      <c r="L9" s="114">
        <v>4000</v>
      </c>
      <c r="M9" s="113"/>
      <c r="N9" s="121" t="s">
        <v>80</v>
      </c>
      <c r="O9" s="162"/>
      <c r="P9" s="161">
        <v>5000</v>
      </c>
      <c r="Q9" s="170"/>
      <c r="R9" s="134">
        <v>10000</v>
      </c>
      <c r="S9" s="180" t="s">
        <v>86</v>
      </c>
    </row>
    <row r="10" spans="1:22" x14ac:dyDescent="0.25">
      <c r="A10" s="135"/>
      <c r="B10" s="143">
        <v>1</v>
      </c>
      <c r="C10" s="108">
        <f>(17456*B10)-3086.5</f>
        <v>14369.5</v>
      </c>
      <c r="D10" s="109">
        <f>C10*7.48052</f>
        <v>107491.33214</v>
      </c>
      <c r="E10" s="108">
        <f t="shared" ref="E10:E13" si="0">(2.0375*B10)+0.1468</f>
        <v>2.1842999999999999</v>
      </c>
      <c r="F10" s="109">
        <f>E10*448.8325</f>
        <v>980.38482974999988</v>
      </c>
      <c r="G10" s="110">
        <f>C10/$C$4</f>
        <v>221.06923076923076</v>
      </c>
      <c r="H10" s="21">
        <f>G10*7.48052</f>
        <v>1653.712802153846</v>
      </c>
      <c r="I10" s="111">
        <f>E10*60*5</f>
        <v>655.29</v>
      </c>
      <c r="J10" s="21">
        <f>I10*7.48052</f>
        <v>4901.9099507999999</v>
      </c>
      <c r="K10" s="113"/>
      <c r="L10" s="121"/>
      <c r="M10" s="113"/>
      <c r="N10" s="121"/>
      <c r="O10" s="162"/>
      <c r="P10" s="161"/>
      <c r="Q10" s="170"/>
      <c r="R10" s="112"/>
      <c r="S10" s="180"/>
    </row>
    <row r="11" spans="1:22" x14ac:dyDescent="0.25">
      <c r="A11" s="135"/>
      <c r="B11" s="143">
        <v>1.5</v>
      </c>
      <c r="C11" s="108">
        <f t="shared" ref="C11:C12" si="1">(17456*B11)-3086.5</f>
        <v>23097.5</v>
      </c>
      <c r="D11" s="109">
        <f>C11*7.48052</f>
        <v>172781.3107</v>
      </c>
      <c r="E11" s="108">
        <f t="shared" si="0"/>
        <v>3.2030500000000002</v>
      </c>
      <c r="F11" s="109">
        <f>E11*448.8325</f>
        <v>1437.6329391250001</v>
      </c>
      <c r="G11" s="110">
        <f>C11/$C$4</f>
        <v>355.34615384615387</v>
      </c>
      <c r="H11" s="21">
        <f>G11*7.48052</f>
        <v>2658.1740107692312</v>
      </c>
      <c r="I11" s="111">
        <f>E11*60*5</f>
        <v>960.91500000000008</v>
      </c>
      <c r="J11" s="21">
        <f>I11*7.48052</f>
        <v>7188.1438758000013</v>
      </c>
      <c r="K11" s="113"/>
      <c r="L11" s="121"/>
      <c r="M11" s="113"/>
      <c r="N11" s="121"/>
      <c r="O11" s="162"/>
      <c r="P11" s="161"/>
      <c r="Q11" s="170"/>
      <c r="R11" s="112"/>
      <c r="S11" s="180"/>
    </row>
    <row r="12" spans="1:22" x14ac:dyDescent="0.25">
      <c r="A12" s="135"/>
      <c r="B12" s="174">
        <v>2</v>
      </c>
      <c r="C12" s="175">
        <f t="shared" si="1"/>
        <v>31825.5</v>
      </c>
      <c r="D12" s="176">
        <f>C12*7.48052</f>
        <v>238071.28926000002</v>
      </c>
      <c r="E12" s="175">
        <f t="shared" si="0"/>
        <v>4.2218</v>
      </c>
      <c r="F12" s="176">
        <f>E12*448.8325</f>
        <v>1894.8810484999999</v>
      </c>
      <c r="G12" s="110">
        <f>C12/$C$4</f>
        <v>489.62307692307695</v>
      </c>
      <c r="H12" s="21">
        <f>G12*7.48052</f>
        <v>3662.6352193846155</v>
      </c>
      <c r="I12" s="111">
        <f>E12*60*5</f>
        <v>1266.54</v>
      </c>
      <c r="J12" s="21">
        <f>I12*7.48052</f>
        <v>9474.3778008000008</v>
      </c>
      <c r="K12" s="113"/>
      <c r="L12" s="121"/>
      <c r="M12" s="113"/>
      <c r="N12" s="121"/>
      <c r="O12" s="162"/>
      <c r="P12" s="161"/>
      <c r="Q12" s="170"/>
      <c r="R12" s="112"/>
      <c r="S12" s="180"/>
    </row>
    <row r="13" spans="1:22" x14ac:dyDescent="0.25">
      <c r="A13" s="135"/>
      <c r="B13" s="143">
        <v>2.5</v>
      </c>
      <c r="C13" s="108">
        <f>(17456*B13)-3086.5</f>
        <v>40553.5</v>
      </c>
      <c r="D13" s="109">
        <f>C13*7.48052</f>
        <v>303361.26782000001</v>
      </c>
      <c r="E13" s="108">
        <f t="shared" si="0"/>
        <v>5.2405499999999998</v>
      </c>
      <c r="F13" s="109">
        <f>E13*448.8325</f>
        <v>2352.1291578749997</v>
      </c>
      <c r="G13" s="110">
        <f>C13/$C$4</f>
        <v>623.9</v>
      </c>
      <c r="H13" s="21">
        <f>G13*7.48052</f>
        <v>4667.0964279999998</v>
      </c>
      <c r="I13" s="111">
        <f>E13*60*5</f>
        <v>1572.165</v>
      </c>
      <c r="J13" s="21">
        <f>I13*7.48052</f>
        <v>11760.611725799999</v>
      </c>
      <c r="K13" s="113"/>
      <c r="L13" s="121"/>
      <c r="M13" s="113"/>
      <c r="N13" s="121"/>
      <c r="O13" s="162"/>
      <c r="P13" s="161"/>
      <c r="Q13" s="170"/>
      <c r="R13" s="112"/>
      <c r="S13" s="180"/>
    </row>
    <row r="14" spans="1:22" ht="15.75" thickBot="1" x14ac:dyDescent="0.3">
      <c r="A14" s="136"/>
      <c r="B14" s="144">
        <v>3</v>
      </c>
      <c r="C14" s="123">
        <f>(17456*B14)-3086.5</f>
        <v>49281.5</v>
      </c>
      <c r="D14" s="124">
        <f>C14*7.48052</f>
        <v>368651.24638000003</v>
      </c>
      <c r="E14" s="123">
        <f>(2.0375*B14)+0.1468</f>
        <v>6.2593000000000005</v>
      </c>
      <c r="F14" s="124">
        <f>E14*448.8325</f>
        <v>2809.3772672499999</v>
      </c>
      <c r="G14" s="125">
        <f>C14/$C$4</f>
        <v>758.17692307692312</v>
      </c>
      <c r="H14" s="24">
        <f>G14*7.48052</f>
        <v>5671.5576366153855</v>
      </c>
      <c r="I14" s="126">
        <f>E14*60*5</f>
        <v>1877.7900000000002</v>
      </c>
      <c r="J14" s="24">
        <f>I14*7.48052</f>
        <v>14046.845650800002</v>
      </c>
      <c r="K14" s="113"/>
      <c r="L14" s="121"/>
      <c r="M14" s="113"/>
      <c r="N14" s="121"/>
      <c r="O14" s="162"/>
      <c r="P14" s="161"/>
      <c r="Q14" s="170"/>
      <c r="R14" s="112"/>
      <c r="S14" s="180"/>
    </row>
    <row r="15" spans="1:22" x14ac:dyDescent="0.25">
      <c r="A15" s="127" t="s">
        <v>74</v>
      </c>
      <c r="B15" s="145">
        <v>0.5</v>
      </c>
      <c r="C15" s="129">
        <f>(98982*B15)+1856.2</f>
        <v>51347.199999999997</v>
      </c>
      <c r="D15" s="130">
        <f>C15*7.48052</f>
        <v>384103.756544</v>
      </c>
      <c r="E15" s="129">
        <f>(9.1432*B15)+4.496</f>
        <v>9.0676000000000005</v>
      </c>
      <c r="F15" s="130">
        <f>E15*448.8325</f>
        <v>4069.8335769999999</v>
      </c>
      <c r="G15" s="131">
        <f>C15/$C$4</f>
        <v>789.95692307692298</v>
      </c>
      <c r="H15" s="132">
        <f>G15*7.48052</f>
        <v>5909.2885622153844</v>
      </c>
      <c r="I15" s="133">
        <f>E15*60*5</f>
        <v>2720.28</v>
      </c>
      <c r="J15" s="132">
        <f>I15*7.48052</f>
        <v>20349.108945600001</v>
      </c>
      <c r="K15" s="146">
        <v>4000</v>
      </c>
      <c r="L15" s="114"/>
      <c r="M15" s="146">
        <v>2500</v>
      </c>
      <c r="N15" s="114"/>
      <c r="O15" s="162">
        <v>5000</v>
      </c>
      <c r="P15" s="161"/>
      <c r="Q15" s="184">
        <v>15000</v>
      </c>
      <c r="R15" s="134"/>
      <c r="S15" s="180" t="s">
        <v>86</v>
      </c>
    </row>
    <row r="16" spans="1:22" x14ac:dyDescent="0.25">
      <c r="A16" s="135"/>
      <c r="B16" s="143">
        <v>1</v>
      </c>
      <c r="C16" s="108">
        <f t="shared" ref="C16:C19" si="2">(98982*B16)+1856.2</f>
        <v>100838.2</v>
      </c>
      <c r="D16" s="109">
        <f>C16*7.48052</f>
        <v>754322.17186400003</v>
      </c>
      <c r="E16" s="108">
        <f t="shared" ref="E16:E19" si="3">(9.1432*B16)+4.496</f>
        <v>13.639200000000001</v>
      </c>
      <c r="F16" s="109">
        <f>E16*448.8325</f>
        <v>6121.7162340000004</v>
      </c>
      <c r="G16" s="110">
        <f t="shared" ref="G16:G19" si="4">C16/$C$4</f>
        <v>1551.3569230769231</v>
      </c>
      <c r="H16" s="21">
        <f>G16*7.48052</f>
        <v>11604.956490215385</v>
      </c>
      <c r="I16" s="111">
        <f>E16*60*5</f>
        <v>4091.76</v>
      </c>
      <c r="J16" s="21">
        <f>I16*7.48052</f>
        <v>30608.492515200003</v>
      </c>
      <c r="K16" s="146"/>
      <c r="L16" s="114"/>
      <c r="M16" s="146"/>
      <c r="N16" s="114"/>
      <c r="O16" s="162"/>
      <c r="P16" s="161"/>
      <c r="Q16" s="185"/>
      <c r="R16" s="134"/>
      <c r="S16" s="180"/>
    </row>
    <row r="17" spans="1:19" x14ac:dyDescent="0.25">
      <c r="A17" s="135"/>
      <c r="B17" s="143">
        <v>1.5</v>
      </c>
      <c r="C17" s="108">
        <f t="shared" si="2"/>
        <v>150329.20000000001</v>
      </c>
      <c r="D17" s="109">
        <f>C17*7.48052</f>
        <v>1124540.5871840001</v>
      </c>
      <c r="E17" s="108">
        <f t="shared" si="3"/>
        <v>18.210799999999999</v>
      </c>
      <c r="F17" s="109">
        <f>E17*448.8325</f>
        <v>8173.5988909999996</v>
      </c>
      <c r="G17" s="110">
        <f t="shared" si="4"/>
        <v>2312.7569230769232</v>
      </c>
      <c r="H17" s="21">
        <f>G17*7.48052</f>
        <v>17300.624418215386</v>
      </c>
      <c r="I17" s="111">
        <f>E17*60*5</f>
        <v>5463.24</v>
      </c>
      <c r="J17" s="21">
        <f>I17*7.48052</f>
        <v>40867.876084800002</v>
      </c>
      <c r="K17" s="146"/>
      <c r="L17" s="114"/>
      <c r="M17" s="146"/>
      <c r="N17" s="114"/>
      <c r="O17" s="162"/>
      <c r="P17" s="161"/>
      <c r="Q17" s="185"/>
      <c r="R17" s="134"/>
      <c r="S17" s="180"/>
    </row>
    <row r="18" spans="1:19" x14ac:dyDescent="0.25">
      <c r="A18" s="135"/>
      <c r="B18" s="174">
        <v>2</v>
      </c>
      <c r="C18" s="175">
        <f t="shared" si="2"/>
        <v>199820.2</v>
      </c>
      <c r="D18" s="176">
        <f>C18*7.48052</f>
        <v>1494759.0025040002</v>
      </c>
      <c r="E18" s="175">
        <f t="shared" si="3"/>
        <v>22.782400000000003</v>
      </c>
      <c r="F18" s="176">
        <f>E18*448.8325</f>
        <v>10225.481548000002</v>
      </c>
      <c r="G18" s="110">
        <f t="shared" si="4"/>
        <v>3074.1569230769232</v>
      </c>
      <c r="H18" s="21">
        <f>G18*7.48052</f>
        <v>22996.292346215389</v>
      </c>
      <c r="I18" s="111">
        <f>E18*60*5</f>
        <v>6834.7200000000012</v>
      </c>
      <c r="J18" s="21">
        <f>I18*7.48052</f>
        <v>51127.259654400012</v>
      </c>
      <c r="K18" s="146"/>
      <c r="L18" s="114"/>
      <c r="M18" s="146"/>
      <c r="N18" s="114"/>
      <c r="O18" s="162"/>
      <c r="P18" s="161"/>
      <c r="Q18" s="185"/>
      <c r="R18" s="134"/>
      <c r="S18" s="180"/>
    </row>
    <row r="19" spans="1:19" x14ac:dyDescent="0.25">
      <c r="A19" s="135"/>
      <c r="B19" s="143">
        <v>2.5</v>
      </c>
      <c r="C19" s="108">
        <f t="shared" si="2"/>
        <v>249311.2</v>
      </c>
      <c r="D19" s="109">
        <f>C19*7.48052</f>
        <v>1864977.4178240001</v>
      </c>
      <c r="E19" s="108">
        <f t="shared" si="3"/>
        <v>27.353999999999999</v>
      </c>
      <c r="F19" s="109">
        <f>E19*448.8325</f>
        <v>12277.364205</v>
      </c>
      <c r="G19" s="110">
        <f t="shared" si="4"/>
        <v>3835.5569230769233</v>
      </c>
      <c r="H19" s="21">
        <f>G19*7.48052</f>
        <v>28691.960274215387</v>
      </c>
      <c r="I19" s="111">
        <f>E19*60*5</f>
        <v>8206.2000000000007</v>
      </c>
      <c r="J19" s="21">
        <f>I19*7.48052</f>
        <v>61386.643224000007</v>
      </c>
      <c r="K19" s="146"/>
      <c r="L19" s="114"/>
      <c r="M19" s="146"/>
      <c r="N19" s="114"/>
      <c r="O19" s="162"/>
      <c r="P19" s="161"/>
      <c r="Q19" s="185"/>
      <c r="R19" s="134"/>
      <c r="S19" s="180"/>
    </row>
    <row r="20" spans="1:19" ht="15.75" thickBot="1" x14ac:dyDescent="0.3">
      <c r="A20" s="136"/>
      <c r="B20" s="144">
        <v>3</v>
      </c>
      <c r="C20" s="123">
        <f>(98982*B20)+1856.2</f>
        <v>298802.2</v>
      </c>
      <c r="D20" s="124">
        <f>C20*7.48052</f>
        <v>2235195.8331440003</v>
      </c>
      <c r="E20" s="123">
        <f>(9.1432*B20)+4.496</f>
        <v>31.925600000000003</v>
      </c>
      <c r="F20" s="124">
        <f>E20*448.8325</f>
        <v>14329.246862</v>
      </c>
      <c r="G20" s="125">
        <f>C20/$C$4</f>
        <v>4596.956923076923</v>
      </c>
      <c r="H20" s="24">
        <f>G20*7.48052</f>
        <v>34387.628202215383</v>
      </c>
      <c r="I20" s="126">
        <f>E20*60*5</f>
        <v>9577.68</v>
      </c>
      <c r="J20" s="24">
        <f>I20*7.48052</f>
        <v>71646.026793600002</v>
      </c>
      <c r="K20" s="148"/>
      <c r="L20" s="149"/>
      <c r="M20" s="148"/>
      <c r="N20" s="149"/>
      <c r="O20" s="163"/>
      <c r="P20" s="164"/>
      <c r="Q20" s="186"/>
      <c r="R20" s="147"/>
      <c r="S20" s="180"/>
    </row>
    <row r="21" spans="1:19" x14ac:dyDescent="0.25">
      <c r="A21" s="32" t="s">
        <v>71</v>
      </c>
      <c r="B21" s="100">
        <v>0.5</v>
      </c>
      <c r="C21" s="101">
        <f>(15743*B21)+689.72</f>
        <v>8561.2199999999993</v>
      </c>
      <c r="D21" s="102">
        <f>C21*7.48052</f>
        <v>64042.377434399998</v>
      </c>
      <c r="E21" s="101">
        <f>(5.2437*B21)-0.3145</f>
        <v>2.3073499999999996</v>
      </c>
      <c r="F21" s="102">
        <f t="shared" ref="F21:F38" si="5">E21*448.8325</f>
        <v>1035.6136688749998</v>
      </c>
      <c r="G21" s="103">
        <f>C21/$C$4</f>
        <v>131.71107692307692</v>
      </c>
      <c r="H21" s="25">
        <f>G21*7.48052</f>
        <v>985.26734514461532</v>
      </c>
      <c r="I21" s="104">
        <f>E21*60*5</f>
        <v>692.20499999999993</v>
      </c>
      <c r="J21" s="25">
        <f>I21*7.48052</f>
        <v>5178.0533465999997</v>
      </c>
      <c r="K21" s="113"/>
      <c r="L21" s="171" t="s">
        <v>82</v>
      </c>
      <c r="M21" s="113"/>
      <c r="N21" s="121" t="s">
        <v>49</v>
      </c>
      <c r="O21" s="160"/>
      <c r="P21" s="161" t="s">
        <v>95</v>
      </c>
      <c r="Q21" s="170"/>
      <c r="R21" s="134">
        <v>20000</v>
      </c>
      <c r="S21" s="180" t="s">
        <v>87</v>
      </c>
    </row>
    <row r="22" spans="1:19" x14ac:dyDescent="0.25">
      <c r="A22" s="33"/>
      <c r="B22" s="107">
        <v>1</v>
      </c>
      <c r="C22" s="108">
        <f t="shared" ref="C22:C25" si="6">(15743*B22)+689.72</f>
        <v>16432.72</v>
      </c>
      <c r="D22" s="109">
        <f t="shared" ref="D22:D38" si="7">C22*7.48052</f>
        <v>122925.29061440002</v>
      </c>
      <c r="E22" s="108">
        <f>(5.2437*B22)-0.3145</f>
        <v>4.9291999999999998</v>
      </c>
      <c r="F22" s="109">
        <f t="shared" si="5"/>
        <v>2212.3851589999999</v>
      </c>
      <c r="G22" s="110">
        <f t="shared" ref="G22:G26" si="8">C22/$C$4</f>
        <v>252.81107692307694</v>
      </c>
      <c r="H22" s="21">
        <f t="shared" ref="H22:H38" si="9">G22*7.48052</f>
        <v>1891.1583171446155</v>
      </c>
      <c r="I22" s="111">
        <f t="shared" ref="I22:I26" si="10">E22*60*5</f>
        <v>1478.76</v>
      </c>
      <c r="J22" s="21">
        <f t="shared" ref="J22:J38" si="11">I22*7.48052</f>
        <v>11061.893755200001</v>
      </c>
      <c r="K22" s="113"/>
      <c r="L22" s="172"/>
      <c r="M22" s="113"/>
      <c r="N22" s="121"/>
      <c r="O22" s="160"/>
      <c r="P22" s="161"/>
      <c r="Q22" s="170"/>
      <c r="R22" s="112"/>
      <c r="S22" s="180"/>
    </row>
    <row r="23" spans="1:19" x14ac:dyDescent="0.25">
      <c r="A23" s="33"/>
      <c r="B23" s="107">
        <v>1.5</v>
      </c>
      <c r="C23" s="108">
        <f t="shared" si="6"/>
        <v>24304.22</v>
      </c>
      <c r="D23" s="109">
        <f t="shared" si="7"/>
        <v>181808.2037944</v>
      </c>
      <c r="E23" s="108">
        <f t="shared" ref="E23:E25" si="12">(5.2437*B23)-0.3145</f>
        <v>7.5510499999999992</v>
      </c>
      <c r="F23" s="109">
        <f t="shared" si="5"/>
        <v>3389.1566491249996</v>
      </c>
      <c r="G23" s="110">
        <f t="shared" si="8"/>
        <v>373.91107692307696</v>
      </c>
      <c r="H23" s="21">
        <f t="shared" si="9"/>
        <v>2797.0492891446156</v>
      </c>
      <c r="I23" s="111">
        <f t="shared" si="10"/>
        <v>2265.3149999999996</v>
      </c>
      <c r="J23" s="21">
        <f t="shared" si="11"/>
        <v>16945.734163799996</v>
      </c>
      <c r="K23" s="113"/>
      <c r="L23" s="172"/>
      <c r="M23" s="113"/>
      <c r="N23" s="121"/>
      <c r="O23" s="160"/>
      <c r="P23" s="161"/>
      <c r="Q23" s="170"/>
      <c r="R23" s="112"/>
      <c r="S23" s="180"/>
    </row>
    <row r="24" spans="1:19" x14ac:dyDescent="0.25">
      <c r="A24" s="33"/>
      <c r="B24" s="177">
        <v>2</v>
      </c>
      <c r="C24" s="175">
        <f t="shared" si="6"/>
        <v>32175.72</v>
      </c>
      <c r="D24" s="176">
        <f t="shared" si="7"/>
        <v>240691.11697440001</v>
      </c>
      <c r="E24" s="175">
        <f t="shared" si="12"/>
        <v>10.172899999999998</v>
      </c>
      <c r="F24" s="176">
        <f t="shared" si="5"/>
        <v>4565.9281392499988</v>
      </c>
      <c r="G24" s="110">
        <f t="shared" si="8"/>
        <v>495.01107692307693</v>
      </c>
      <c r="H24" s="21">
        <f t="shared" si="9"/>
        <v>3702.9402611446158</v>
      </c>
      <c r="I24" s="111">
        <f t="shared" si="10"/>
        <v>3051.8699999999994</v>
      </c>
      <c r="J24" s="21">
        <f t="shared" si="11"/>
        <v>22829.574572399997</v>
      </c>
      <c r="K24" s="113"/>
      <c r="L24" s="172"/>
      <c r="M24" s="113"/>
      <c r="N24" s="121"/>
      <c r="O24" s="160"/>
      <c r="P24" s="161"/>
      <c r="Q24" s="170"/>
      <c r="R24" s="112"/>
      <c r="S24" s="180"/>
    </row>
    <row r="25" spans="1:19" x14ac:dyDescent="0.25">
      <c r="A25" s="33"/>
      <c r="B25" s="107">
        <v>2.5</v>
      </c>
      <c r="C25" s="108">
        <f t="shared" si="6"/>
        <v>40047.22</v>
      </c>
      <c r="D25" s="109">
        <f t="shared" si="7"/>
        <v>299574.03015440004</v>
      </c>
      <c r="E25" s="108">
        <f t="shared" si="12"/>
        <v>12.794749999999999</v>
      </c>
      <c r="F25" s="109">
        <f t="shared" si="5"/>
        <v>5742.6996293749989</v>
      </c>
      <c r="G25" s="110">
        <f t="shared" si="8"/>
        <v>616.11107692307689</v>
      </c>
      <c r="H25" s="21">
        <f t="shared" si="9"/>
        <v>4608.831233144615</v>
      </c>
      <c r="I25" s="111">
        <f t="shared" si="10"/>
        <v>3838.4249999999997</v>
      </c>
      <c r="J25" s="21">
        <f t="shared" si="11"/>
        <v>28713.414980999998</v>
      </c>
      <c r="K25" s="113"/>
      <c r="L25" s="172"/>
      <c r="M25" s="113"/>
      <c r="N25" s="121"/>
      <c r="O25" s="160"/>
      <c r="P25" s="161"/>
      <c r="Q25" s="170"/>
      <c r="R25" s="112"/>
      <c r="S25" s="180"/>
    </row>
    <row r="26" spans="1:19" ht="15.75" thickBot="1" x14ac:dyDescent="0.3">
      <c r="A26" s="34"/>
      <c r="B26" s="122">
        <v>3</v>
      </c>
      <c r="C26" s="123">
        <f>(15743*B26)+689.72</f>
        <v>47918.720000000001</v>
      </c>
      <c r="D26" s="124">
        <f t="shared" si="7"/>
        <v>358456.94333440001</v>
      </c>
      <c r="E26" s="123">
        <f>(5.2437*B26)-0.3145</f>
        <v>15.416599999999997</v>
      </c>
      <c r="F26" s="124">
        <f t="shared" si="5"/>
        <v>6919.4711194999982</v>
      </c>
      <c r="G26" s="125">
        <f t="shared" si="8"/>
        <v>737.21107692307692</v>
      </c>
      <c r="H26" s="24">
        <f t="shared" si="9"/>
        <v>5514.7222051446151</v>
      </c>
      <c r="I26" s="126">
        <f t="shared" si="10"/>
        <v>4624.9799999999996</v>
      </c>
      <c r="J26" s="24">
        <f t="shared" si="11"/>
        <v>34597.255389599995</v>
      </c>
      <c r="K26" s="113"/>
      <c r="L26" s="172"/>
      <c r="M26" s="113"/>
      <c r="N26" s="121"/>
      <c r="O26" s="160"/>
      <c r="P26" s="161"/>
      <c r="Q26" s="170"/>
      <c r="R26" s="112"/>
      <c r="S26" s="180"/>
    </row>
    <row r="27" spans="1:19" x14ac:dyDescent="0.25">
      <c r="A27" s="32" t="s">
        <v>70</v>
      </c>
      <c r="B27" s="100">
        <v>0.5</v>
      </c>
      <c r="C27" s="101">
        <f>(14492*B27)-929.06</f>
        <v>6316.9400000000005</v>
      </c>
      <c r="D27" s="102">
        <f>C27*7.48052</f>
        <v>47253.996008800008</v>
      </c>
      <c r="E27" s="101">
        <f>(3.6074*B27)-0.2369</f>
        <v>1.5668000000000002</v>
      </c>
      <c r="F27" s="102">
        <f>E27*448.8325</f>
        <v>703.23076100000003</v>
      </c>
      <c r="G27" s="103">
        <f>C27/$C$4</f>
        <v>97.183692307692311</v>
      </c>
      <c r="H27" s="25">
        <f>G27*7.48052</f>
        <v>726.98455398153851</v>
      </c>
      <c r="I27" s="104">
        <f>E27*60*5</f>
        <v>470.04000000000008</v>
      </c>
      <c r="J27" s="25">
        <f>I27*7.48052</f>
        <v>3516.1436208000009</v>
      </c>
      <c r="K27" s="105"/>
      <c r="L27" s="173" t="s">
        <v>83</v>
      </c>
      <c r="M27" s="105"/>
      <c r="N27" s="106">
        <v>3000</v>
      </c>
      <c r="O27" s="158"/>
      <c r="P27" s="159">
        <v>4000</v>
      </c>
      <c r="Q27" s="168"/>
      <c r="R27" s="169">
        <v>3000</v>
      </c>
      <c r="S27" s="183" t="s">
        <v>88</v>
      </c>
    </row>
    <row r="28" spans="1:19" x14ac:dyDescent="0.25">
      <c r="A28" s="33"/>
      <c r="B28" s="107">
        <v>1</v>
      </c>
      <c r="C28" s="108">
        <f>(14492*B28)-929.06</f>
        <v>13562.94</v>
      </c>
      <c r="D28" s="109">
        <f t="shared" ref="D28:D31" si="13">C28*7.48052</f>
        <v>101457.84392880001</v>
      </c>
      <c r="E28" s="108">
        <f t="shared" ref="E28:E32" si="14">(3.6074*B28)-0.2369</f>
        <v>3.3705000000000003</v>
      </c>
      <c r="F28" s="109">
        <f>E28*448.8325</f>
        <v>1512.7899412500001</v>
      </c>
      <c r="G28" s="110">
        <f t="shared" ref="G28:G32" si="15">C28/$C$4</f>
        <v>208.6606153846154</v>
      </c>
      <c r="H28" s="21">
        <f t="shared" ref="H28:H32" si="16">G28*7.48052</f>
        <v>1560.8899065969233</v>
      </c>
      <c r="I28" s="111">
        <f t="shared" ref="I28:I32" si="17">E28*60*5</f>
        <v>1011.1500000000001</v>
      </c>
      <c r="J28" s="21">
        <f t="shared" ref="J28:J32" si="18">I28*7.48052</f>
        <v>7563.9277980000006</v>
      </c>
      <c r="K28" s="113"/>
      <c r="L28" s="171"/>
      <c r="M28" s="113"/>
      <c r="N28" s="114"/>
      <c r="O28" s="160"/>
      <c r="P28" s="161"/>
      <c r="Q28" s="170"/>
      <c r="R28" s="134"/>
      <c r="S28" s="182"/>
    </row>
    <row r="29" spans="1:19" x14ac:dyDescent="0.25">
      <c r="A29" s="33"/>
      <c r="B29" s="107">
        <v>1.5</v>
      </c>
      <c r="C29" s="108">
        <f t="shared" ref="C29:C31" si="19">(14492*B29)-929.06</f>
        <v>20808.939999999999</v>
      </c>
      <c r="D29" s="109">
        <f t="shared" si="13"/>
        <v>155661.69184879999</v>
      </c>
      <c r="E29" s="108">
        <f t="shared" si="14"/>
        <v>5.1741999999999999</v>
      </c>
      <c r="F29" s="109">
        <f>E29*448.8325</f>
        <v>2322.3491214999999</v>
      </c>
      <c r="G29" s="110">
        <f t="shared" si="15"/>
        <v>320.13753846153844</v>
      </c>
      <c r="H29" s="21">
        <f t="shared" si="16"/>
        <v>2394.7952592123074</v>
      </c>
      <c r="I29" s="111">
        <f t="shared" si="17"/>
        <v>1552.26</v>
      </c>
      <c r="J29" s="21">
        <f t="shared" si="18"/>
        <v>11611.7119752</v>
      </c>
      <c r="K29" s="113"/>
      <c r="L29" s="171"/>
      <c r="M29" s="113"/>
      <c r="N29" s="114"/>
      <c r="O29" s="160"/>
      <c r="P29" s="161"/>
      <c r="Q29" s="170"/>
      <c r="R29" s="134"/>
      <c r="S29" s="182"/>
    </row>
    <row r="30" spans="1:19" x14ac:dyDescent="0.25">
      <c r="A30" s="33"/>
      <c r="B30" s="177">
        <v>2</v>
      </c>
      <c r="C30" s="175">
        <f t="shared" si="19"/>
        <v>28054.94</v>
      </c>
      <c r="D30" s="176">
        <f t="shared" si="13"/>
        <v>209865.53976879999</v>
      </c>
      <c r="E30" s="175">
        <f t="shared" si="14"/>
        <v>6.9779</v>
      </c>
      <c r="F30" s="176">
        <f>E30*448.8325</f>
        <v>3131.9083017499997</v>
      </c>
      <c r="G30" s="110">
        <f t="shared" si="15"/>
        <v>431.61446153846151</v>
      </c>
      <c r="H30" s="21">
        <f t="shared" si="16"/>
        <v>3228.7006118276922</v>
      </c>
      <c r="I30" s="111">
        <f t="shared" si="17"/>
        <v>2093.37</v>
      </c>
      <c r="J30" s="21">
        <f t="shared" si="18"/>
        <v>15659.496152399999</v>
      </c>
      <c r="K30" s="113"/>
      <c r="L30" s="171"/>
      <c r="M30" s="113"/>
      <c r="N30" s="114"/>
      <c r="O30" s="160"/>
      <c r="P30" s="161"/>
      <c r="Q30" s="170"/>
      <c r="R30" s="134"/>
      <c r="S30" s="182"/>
    </row>
    <row r="31" spans="1:19" x14ac:dyDescent="0.25">
      <c r="A31" s="33"/>
      <c r="B31" s="107">
        <v>2.5</v>
      </c>
      <c r="C31" s="108">
        <f t="shared" si="19"/>
        <v>35300.94</v>
      </c>
      <c r="D31" s="109">
        <f t="shared" si="13"/>
        <v>264069.38768880005</v>
      </c>
      <c r="E31" s="108">
        <f t="shared" si="14"/>
        <v>8.7815999999999992</v>
      </c>
      <c r="F31" s="109">
        <f>E31*448.8325</f>
        <v>3941.4674819999996</v>
      </c>
      <c r="G31" s="110">
        <f t="shared" si="15"/>
        <v>543.09138461538464</v>
      </c>
      <c r="H31" s="21">
        <f t="shared" si="16"/>
        <v>4062.6059644430775</v>
      </c>
      <c r="I31" s="111">
        <f t="shared" si="17"/>
        <v>2634.4799999999996</v>
      </c>
      <c r="J31" s="21">
        <f t="shared" si="18"/>
        <v>19707.280329599998</v>
      </c>
      <c r="K31" s="113"/>
      <c r="L31" s="171"/>
      <c r="M31" s="113"/>
      <c r="N31" s="114"/>
      <c r="O31" s="160"/>
      <c r="P31" s="161"/>
      <c r="Q31" s="170"/>
      <c r="R31" s="134"/>
      <c r="S31" s="182"/>
    </row>
    <row r="32" spans="1:19" ht="15.75" thickBot="1" x14ac:dyDescent="0.3">
      <c r="A32" s="34"/>
      <c r="B32" s="115">
        <v>3</v>
      </c>
      <c r="C32" s="116">
        <f>(14492*B32)-929.06</f>
        <v>42546.94</v>
      </c>
      <c r="D32" s="117">
        <f>C32*7.48052</f>
        <v>318273.23560880002</v>
      </c>
      <c r="E32" s="116">
        <f t="shared" si="14"/>
        <v>10.5853</v>
      </c>
      <c r="F32" s="117">
        <f>E32*448.8325</f>
        <v>4751.0266622500003</v>
      </c>
      <c r="G32" s="118">
        <f t="shared" si="15"/>
        <v>654.56830769230771</v>
      </c>
      <c r="H32" s="119">
        <f t="shared" si="16"/>
        <v>4896.5113170584618</v>
      </c>
      <c r="I32" s="120">
        <f t="shared" si="17"/>
        <v>3175.59</v>
      </c>
      <c r="J32" s="119">
        <f t="shared" si="18"/>
        <v>23755.064506800001</v>
      </c>
      <c r="K32" s="113"/>
      <c r="L32" s="171"/>
      <c r="M32" s="113"/>
      <c r="N32" s="114"/>
      <c r="O32" s="160"/>
      <c r="P32" s="161"/>
      <c r="Q32" s="170"/>
      <c r="R32" s="134"/>
      <c r="S32" s="182"/>
    </row>
    <row r="33" spans="1:19" x14ac:dyDescent="0.25">
      <c r="A33" s="127" t="s">
        <v>72</v>
      </c>
      <c r="B33" s="128">
        <v>0.5</v>
      </c>
      <c r="C33" s="129">
        <f>(190228*B33)-13695</f>
        <v>81419</v>
      </c>
      <c r="D33" s="130">
        <f t="shared" si="7"/>
        <v>609056.45788</v>
      </c>
      <c r="E33" s="129">
        <f>(9.7764*B33)+1.2756</f>
        <v>6.1638000000000002</v>
      </c>
      <c r="F33" s="130">
        <f t="shared" si="5"/>
        <v>2766.5137635000001</v>
      </c>
      <c r="G33" s="131">
        <f>C33/$C$4</f>
        <v>1252.5999999999999</v>
      </c>
      <c r="H33" s="132">
        <f t="shared" si="9"/>
        <v>9370.0993519999993</v>
      </c>
      <c r="I33" s="133">
        <f>E33*60*5</f>
        <v>1849.14</v>
      </c>
      <c r="J33" s="132">
        <f t="shared" si="11"/>
        <v>13832.528752800001</v>
      </c>
      <c r="K33" s="113"/>
      <c r="L33" s="114">
        <v>24000</v>
      </c>
      <c r="M33" s="113"/>
      <c r="N33" s="121" t="s">
        <v>84</v>
      </c>
      <c r="O33" s="162"/>
      <c r="P33" s="161">
        <v>30000</v>
      </c>
      <c r="Q33" s="170"/>
      <c r="R33" s="134">
        <v>80000</v>
      </c>
      <c r="S33" s="180" t="s">
        <v>89</v>
      </c>
    </row>
    <row r="34" spans="1:19" x14ac:dyDescent="0.25">
      <c r="A34" s="135"/>
      <c r="B34" s="107">
        <v>1</v>
      </c>
      <c r="C34" s="129">
        <f t="shared" ref="C34:C38" si="20">(190228*B34)-13695</f>
        <v>176533</v>
      </c>
      <c r="D34" s="130">
        <f t="shared" si="7"/>
        <v>1320558.6371600002</v>
      </c>
      <c r="E34" s="129">
        <f t="shared" ref="E34:E38" si="21">(9.7764*B34)+1.2756</f>
        <v>11.052000000000001</v>
      </c>
      <c r="F34" s="130">
        <f t="shared" si="5"/>
        <v>4960.4967900000001</v>
      </c>
      <c r="G34" s="131">
        <f t="shared" ref="G34:G38" si="22">C34/$C$4</f>
        <v>2715.8923076923079</v>
      </c>
      <c r="H34" s="132">
        <f t="shared" si="9"/>
        <v>20316.286725538463</v>
      </c>
      <c r="I34" s="133">
        <f t="shared" ref="I34:I38" si="23">E34*60*5</f>
        <v>3315.6000000000004</v>
      </c>
      <c r="J34" s="132">
        <f t="shared" si="11"/>
        <v>24802.412112000005</v>
      </c>
      <c r="K34" s="113"/>
      <c r="L34" s="121"/>
      <c r="M34" s="113"/>
      <c r="N34" s="121"/>
      <c r="O34" s="162"/>
      <c r="P34" s="161"/>
      <c r="Q34" s="170"/>
      <c r="R34" s="112"/>
      <c r="S34" s="180"/>
    </row>
    <row r="35" spans="1:19" x14ac:dyDescent="0.25">
      <c r="A35" s="135"/>
      <c r="B35" s="107">
        <v>1.5</v>
      </c>
      <c r="C35" s="129">
        <f t="shared" si="20"/>
        <v>271647</v>
      </c>
      <c r="D35" s="130">
        <f t="shared" si="7"/>
        <v>2032060.81644</v>
      </c>
      <c r="E35" s="129">
        <f t="shared" si="21"/>
        <v>15.940200000000001</v>
      </c>
      <c r="F35" s="130">
        <f t="shared" si="5"/>
        <v>7154.4798165000002</v>
      </c>
      <c r="G35" s="131">
        <f t="shared" si="22"/>
        <v>4179.1846153846154</v>
      </c>
      <c r="H35" s="132">
        <f t="shared" si="9"/>
        <v>31262.474099076924</v>
      </c>
      <c r="I35" s="133">
        <f t="shared" si="23"/>
        <v>4782.0600000000004</v>
      </c>
      <c r="J35" s="132">
        <f t="shared" si="11"/>
        <v>35772.295471200006</v>
      </c>
      <c r="K35" s="113"/>
      <c r="L35" s="121"/>
      <c r="M35" s="113"/>
      <c r="N35" s="121"/>
      <c r="O35" s="162"/>
      <c r="P35" s="161"/>
      <c r="Q35" s="170"/>
      <c r="R35" s="112"/>
      <c r="S35" s="180"/>
    </row>
    <row r="36" spans="1:19" x14ac:dyDescent="0.25">
      <c r="A36" s="135"/>
      <c r="B36" s="177">
        <v>2</v>
      </c>
      <c r="C36" s="178">
        <f t="shared" si="20"/>
        <v>366761</v>
      </c>
      <c r="D36" s="179">
        <f t="shared" si="7"/>
        <v>2743562.99572</v>
      </c>
      <c r="E36" s="178">
        <f t="shared" si="21"/>
        <v>20.828400000000002</v>
      </c>
      <c r="F36" s="179">
        <f t="shared" si="5"/>
        <v>9348.4628430000012</v>
      </c>
      <c r="G36" s="131">
        <f t="shared" si="22"/>
        <v>5642.4769230769234</v>
      </c>
      <c r="H36" s="132">
        <f t="shared" si="9"/>
        <v>42208.661472615386</v>
      </c>
      <c r="I36" s="133">
        <f t="shared" si="23"/>
        <v>6248.52</v>
      </c>
      <c r="J36" s="132">
        <f t="shared" si="11"/>
        <v>46742.178830400007</v>
      </c>
      <c r="K36" s="113"/>
      <c r="L36" s="121"/>
      <c r="M36" s="113"/>
      <c r="N36" s="121"/>
      <c r="O36" s="162"/>
      <c r="P36" s="161"/>
      <c r="Q36" s="170"/>
      <c r="R36" s="112"/>
      <c r="S36" s="180"/>
    </row>
    <row r="37" spans="1:19" x14ac:dyDescent="0.25">
      <c r="A37" s="135"/>
      <c r="B37" s="107">
        <v>2.5</v>
      </c>
      <c r="C37" s="129">
        <f t="shared" si="20"/>
        <v>461875</v>
      </c>
      <c r="D37" s="130">
        <f t="shared" si="7"/>
        <v>3455065.1750000003</v>
      </c>
      <c r="E37" s="129">
        <f t="shared" si="21"/>
        <v>25.716600000000003</v>
      </c>
      <c r="F37" s="130">
        <f t="shared" si="5"/>
        <v>11542.445869500001</v>
      </c>
      <c r="G37" s="131">
        <f t="shared" si="22"/>
        <v>7105.7692307692305</v>
      </c>
      <c r="H37" s="132">
        <f t="shared" si="9"/>
        <v>53154.848846153844</v>
      </c>
      <c r="I37" s="133">
        <f t="shared" si="23"/>
        <v>7714.9800000000005</v>
      </c>
      <c r="J37" s="132">
        <f t="shared" si="11"/>
        <v>57712.062189600008</v>
      </c>
      <c r="K37" s="113"/>
      <c r="L37" s="121"/>
      <c r="M37" s="113"/>
      <c r="N37" s="121"/>
      <c r="O37" s="162"/>
      <c r="P37" s="161"/>
      <c r="Q37" s="170"/>
      <c r="R37" s="112"/>
      <c r="S37" s="180"/>
    </row>
    <row r="38" spans="1:19" ht="15.75" thickBot="1" x14ac:dyDescent="0.3">
      <c r="A38" s="136"/>
      <c r="B38" s="122">
        <v>3</v>
      </c>
      <c r="C38" s="137">
        <f t="shared" si="20"/>
        <v>556989</v>
      </c>
      <c r="D38" s="138">
        <f t="shared" si="7"/>
        <v>4166567.3542800001</v>
      </c>
      <c r="E38" s="137">
        <f t="shared" si="21"/>
        <v>30.604800000000001</v>
      </c>
      <c r="F38" s="138">
        <f t="shared" si="5"/>
        <v>13736.428895999999</v>
      </c>
      <c r="G38" s="139">
        <f t="shared" si="22"/>
        <v>8569.0615384615376</v>
      </c>
      <c r="H38" s="140">
        <f t="shared" si="9"/>
        <v>64101.036219692302</v>
      </c>
      <c r="I38" s="141">
        <f t="shared" si="23"/>
        <v>9181.44</v>
      </c>
      <c r="J38" s="140">
        <f t="shared" si="11"/>
        <v>68681.945548800009</v>
      </c>
      <c r="K38" s="113"/>
      <c r="L38" s="121"/>
      <c r="M38" s="113"/>
      <c r="N38" s="121"/>
      <c r="O38" s="162"/>
      <c r="P38" s="161"/>
      <c r="Q38" s="170"/>
      <c r="R38" s="112"/>
      <c r="S38" s="180"/>
    </row>
    <row r="39" spans="1:19" x14ac:dyDescent="0.25">
      <c r="A39" s="150" t="s">
        <v>75</v>
      </c>
      <c r="B39" s="151"/>
    </row>
    <row r="40" spans="1:19" x14ac:dyDescent="0.25">
      <c r="A40" s="150" t="s">
        <v>76</v>
      </c>
      <c r="B40" s="151"/>
    </row>
    <row r="41" spans="1:19" x14ac:dyDescent="0.25">
      <c r="A41" s="151" t="s">
        <v>77</v>
      </c>
      <c r="B41" s="151"/>
    </row>
  </sheetData>
  <mergeCells count="62">
    <mergeCell ref="S9:S14"/>
    <mergeCell ref="S15:S20"/>
    <mergeCell ref="S21:S26"/>
    <mergeCell ref="S27:S32"/>
    <mergeCell ref="S33:S38"/>
    <mergeCell ref="B6:J6"/>
    <mergeCell ref="Q15:Q20"/>
    <mergeCell ref="K6:P6"/>
    <mergeCell ref="Q7:R7"/>
    <mergeCell ref="Q27:Q32"/>
    <mergeCell ref="R27:R32"/>
    <mergeCell ref="Q21:Q26"/>
    <mergeCell ref="Q9:Q14"/>
    <mergeCell ref="Q6:V6"/>
    <mergeCell ref="K15:K20"/>
    <mergeCell ref="L15:L20"/>
    <mergeCell ref="K27:K32"/>
    <mergeCell ref="L27:L32"/>
    <mergeCell ref="K21:K26"/>
    <mergeCell ref="L21:L26"/>
    <mergeCell ref="K33:K38"/>
    <mergeCell ref="L33:L38"/>
    <mergeCell ref="R9:R14"/>
    <mergeCell ref="A15:A20"/>
    <mergeCell ref="O15:O20"/>
    <mergeCell ref="P15:P20"/>
    <mergeCell ref="M15:M20"/>
    <mergeCell ref="N15:N20"/>
    <mergeCell ref="R15:R20"/>
    <mergeCell ref="K9:K14"/>
    <mergeCell ref="L9:L14"/>
    <mergeCell ref="A9:A14"/>
    <mergeCell ref="O9:O14"/>
    <mergeCell ref="P9:P14"/>
    <mergeCell ref="M9:M14"/>
    <mergeCell ref="N9:N14"/>
    <mergeCell ref="R21:R26"/>
    <mergeCell ref="A33:A38"/>
    <mergeCell ref="O33:O38"/>
    <mergeCell ref="P33:P38"/>
    <mergeCell ref="M33:M38"/>
    <mergeCell ref="N33:N38"/>
    <mergeCell ref="Q33:Q38"/>
    <mergeCell ref="R33:R38"/>
    <mergeCell ref="A21:A26"/>
    <mergeCell ref="O21:O26"/>
    <mergeCell ref="P21:P26"/>
    <mergeCell ref="M21:M26"/>
    <mergeCell ref="N21:N26"/>
    <mergeCell ref="M7:N7"/>
    <mergeCell ref="A27:A32"/>
    <mergeCell ref="O27:O32"/>
    <mergeCell ref="P27:P32"/>
    <mergeCell ref="M27:M32"/>
    <mergeCell ref="N27:N32"/>
    <mergeCell ref="A7:A8"/>
    <mergeCell ref="C7:D7"/>
    <mergeCell ref="E7:F7"/>
    <mergeCell ref="G7:H7"/>
    <mergeCell ref="I7:J7"/>
    <mergeCell ref="O7:P7"/>
    <mergeCell ref="K7:L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Creeks</vt:lpstr>
      <vt:lpstr>Outfalls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Newtson, Jameson</dc:creator>
  <cp:lastModifiedBy>Messina, Alex</cp:lastModifiedBy>
  <cp:lastPrinted>2020-04-06T03:40:57Z</cp:lastPrinted>
  <dcterms:created xsi:type="dcterms:W3CDTF">2020-03-09T23:26:56Z</dcterms:created>
  <dcterms:modified xsi:type="dcterms:W3CDTF">2021-01-29T03:10:25Z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4b615afc741440ddb12f96e7182c8e4a</vt:lpwstr>
  </property>
</Properties>
</file>