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" yWindow="60" windowWidth="12420" windowHeight="6330" activeTab="2"/>
  </bookViews>
  <sheets>
    <sheet name="All Together" sheetId="1" r:id="rId1"/>
    <sheet name="Oil Struck" sheetId="2" r:id="rId2"/>
    <sheet name="Dry Hole" sheetId="3" r:id="rId3"/>
  </sheets>
  <definedNames>
    <definedName name="solver_corr" hidden="1">0</definedName>
    <definedName name="solver_nsim" hidden="1">1</definedName>
    <definedName name="solver_ntri" hidden="1">10000</definedName>
    <definedName name="solver_typ" localSheetId="0" hidden="1">2</definedName>
    <definedName name="solver_ver" localSheetId="0" hidden="1">12</definedName>
    <definedName name="solveri_ISpPars_B18" localSheetId="0" hidden="1">"RiskSolver.UI.Charts.InputDlgPars:-1000001;1;1;24;21;52;53;0;90;90;0;0;0;0;1;"</definedName>
    <definedName name="solveri_ISpPars_B3" localSheetId="0" hidden="1">"RiskSolver.UI.Charts.InputDlgPars:-1000001;1;1;24;21;52;53;0;90;90;0;0;0;0;1;"</definedName>
    <definedName name="solvero_CRMax_E21" localSheetId="0" hidden="1">"System.Double:Infinity"</definedName>
    <definedName name="solvero_CRMin_E21" localSheetId="0" hidden="1">"System.Double:-Infinity"</definedName>
    <definedName name="solvero_OSpPars_E21" localSheetId="0" hidden="1">"RiskSolver.UI.Charts.OutDlgPars:-1000001;19;10;60;54;0;1;90;80;0;0;0;0;1;"</definedName>
  </definedNames>
  <calcPr calcId="145621"/>
</workbook>
</file>

<file path=xl/calcChain.xml><?xml version="1.0" encoding="utf-8"?>
<calcChain xmlns="http://schemas.openxmlformats.org/spreadsheetml/2006/main">
  <c r="B12" i="3" l="1"/>
  <c r="K4" i="3"/>
  <c r="K10" i="3"/>
  <c r="F2" i="2"/>
  <c r="K12" i="2"/>
  <c r="K6" i="2"/>
  <c r="K16" i="1"/>
  <c r="B19" i="1"/>
  <c r="K12" i="1"/>
  <c r="B4" i="3"/>
  <c r="K4" i="2"/>
  <c r="B15" i="2"/>
  <c r="B21" i="1"/>
  <c r="K17" i="3"/>
  <c r="K5" i="3"/>
  <c r="K9" i="2"/>
  <c r="K11" i="1"/>
  <c r="K6" i="1"/>
  <c r="B3" i="2"/>
  <c r="B8" i="1"/>
  <c r="K8" i="3"/>
  <c r="K17" i="2"/>
  <c r="K15" i="1"/>
  <c r="K14" i="3"/>
  <c r="K15" i="3"/>
  <c r="K9" i="3"/>
  <c r="K8" i="2"/>
  <c r="K11" i="2"/>
  <c r="B12" i="2"/>
  <c r="B4" i="1"/>
  <c r="K7" i="1"/>
  <c r="B18" i="1"/>
  <c r="B3" i="3"/>
  <c r="K16" i="3"/>
  <c r="K10" i="2"/>
  <c r="O4" i="1"/>
  <c r="K5" i="1"/>
  <c r="B15" i="3"/>
  <c r="K5" i="2"/>
  <c r="K7" i="2"/>
  <c r="K13" i="1"/>
  <c r="O4" i="3"/>
  <c r="O2" i="1"/>
  <c r="K17" i="1"/>
  <c r="K15" i="2"/>
  <c r="K10" i="1"/>
  <c r="K8" i="1"/>
  <c r="K6" i="3"/>
  <c r="K3" i="3"/>
  <c r="O2" i="3"/>
  <c r="O2" i="2"/>
  <c r="K16" i="2"/>
  <c r="O4" i="2"/>
  <c r="K3" i="1"/>
  <c r="K9" i="1"/>
  <c r="B15" i="1"/>
  <c r="F2" i="3"/>
  <c r="K13" i="3"/>
  <c r="B8" i="3"/>
  <c r="B8" i="2"/>
  <c r="K14" i="2"/>
  <c r="K3" i="2"/>
  <c r="B3" i="1"/>
  <c r="B12" i="1"/>
  <c r="K14" i="1"/>
  <c r="K7" i="3"/>
  <c r="K12" i="3"/>
  <c r="B4" i="2"/>
  <c r="F2" i="1"/>
  <c r="K11" i="3"/>
  <c r="K13" i="2"/>
  <c r="K4" i="1"/>
  <c r="B24" i="3"/>
  <c r="B24" i="2"/>
  <c r="F3" i="2"/>
  <c r="F3" i="3"/>
  <c r="H3" i="3" l="1"/>
  <c r="F4" i="3" s="1"/>
  <c r="H3" i="2"/>
  <c r="F4" i="2" s="1"/>
  <c r="J3" i="2"/>
  <c r="L3" i="2" s="1"/>
  <c r="O8" i="2" s="1"/>
  <c r="Q8" i="2" s="1"/>
  <c r="B6" i="2"/>
  <c r="B7" i="2" s="1"/>
  <c r="B13" i="1"/>
  <c r="B10" i="2"/>
  <c r="B11" i="2" s="1"/>
  <c r="B10" i="3"/>
  <c r="B11" i="3" s="1"/>
  <c r="B16" i="1"/>
  <c r="B16" i="3"/>
  <c r="B6" i="1"/>
  <c r="B7" i="1" s="1"/>
  <c r="B13" i="2"/>
  <c r="B10" i="1"/>
  <c r="B11" i="1" s="1"/>
  <c r="B16" i="2"/>
  <c r="B6" i="3"/>
  <c r="B7" i="3" s="1"/>
  <c r="B20" i="1"/>
  <c r="B22" i="1" s="1"/>
  <c r="B13" i="3"/>
  <c r="B2" i="2" l="1"/>
  <c r="B1" i="2" s="1"/>
  <c r="B2" i="1"/>
  <c r="B2" i="3"/>
  <c r="B1" i="3" s="1"/>
  <c r="H4" i="2"/>
  <c r="F5" i="2" s="1"/>
  <c r="J3" i="3"/>
  <c r="L3" i="3" s="1"/>
  <c r="O8" i="3" s="1"/>
  <c r="Q8" i="3" s="1"/>
  <c r="H4" i="3"/>
  <c r="F5" i="3" s="1"/>
  <c r="F3" i="1"/>
  <c r="B24" i="1"/>
  <c r="H3" i="1" l="1"/>
  <c r="F4" i="1" s="1"/>
  <c r="J3" i="1"/>
  <c r="L3" i="1" s="1"/>
  <c r="O8" i="1" s="1"/>
  <c r="Q8" i="1" s="1"/>
  <c r="H5" i="3"/>
  <c r="F6" i="3" s="1"/>
  <c r="J4" i="3"/>
  <c r="L4" i="3" s="1"/>
  <c r="O9" i="3" s="1"/>
  <c r="Q9" i="3" s="1"/>
  <c r="B1" i="1"/>
  <c r="J4" i="2"/>
  <c r="L4" i="2" s="1"/>
  <c r="O9" i="2" s="1"/>
  <c r="Q9" i="2" s="1"/>
  <c r="H5" i="2"/>
  <c r="F6" i="2" s="1"/>
  <c r="J5" i="2"/>
  <c r="L5" i="2" s="1"/>
  <c r="O10" i="2" s="1"/>
  <c r="Q10" i="2" s="1"/>
  <c r="J5" i="3" l="1"/>
  <c r="L5" i="3" s="1"/>
  <c r="O10" i="3" s="1"/>
  <c r="Q10" i="3" s="1"/>
  <c r="H6" i="3"/>
  <c r="F7" i="3" s="1"/>
  <c r="H6" i="2"/>
  <c r="F7" i="2" s="1"/>
  <c r="J6" i="2"/>
  <c r="L6" i="2" s="1"/>
  <c r="O11" i="2" s="1"/>
  <c r="Q11" i="2" s="1"/>
  <c r="H4" i="1"/>
  <c r="F5" i="1" s="1"/>
  <c r="J4" i="1" l="1"/>
  <c r="L4" i="1" s="1"/>
  <c r="O9" i="1" s="1"/>
  <c r="Q9" i="1" s="1"/>
  <c r="J6" i="3"/>
  <c r="L6" i="3" s="1"/>
  <c r="O11" i="3" s="1"/>
  <c r="Q11" i="3" s="1"/>
  <c r="H7" i="2"/>
  <c r="F8" i="2" s="1"/>
  <c r="H7" i="3"/>
  <c r="F8" i="3" s="1"/>
  <c r="J7" i="3"/>
  <c r="L7" i="3" s="1"/>
  <c r="O12" i="3" s="1"/>
  <c r="Q12" i="3" s="1"/>
  <c r="H5" i="1"/>
  <c r="F6" i="1" s="1"/>
  <c r="J5" i="1"/>
  <c r="L5" i="1" s="1"/>
  <c r="O10" i="1" s="1"/>
  <c r="Q10" i="1" s="1"/>
  <c r="J7" i="2" l="1"/>
  <c r="L7" i="2" s="1"/>
  <c r="O12" i="2" s="1"/>
  <c r="Q12" i="2" s="1"/>
  <c r="H8" i="2"/>
  <c r="F9" i="2" s="1"/>
  <c r="H6" i="1"/>
  <c r="F7" i="1" s="1"/>
  <c r="J6" i="1"/>
  <c r="L6" i="1" s="1"/>
  <c r="O11" i="1" s="1"/>
  <c r="Q11" i="1" s="1"/>
  <c r="H8" i="3"/>
  <c r="F9" i="3" s="1"/>
  <c r="J8" i="3"/>
  <c r="L8" i="3" s="1"/>
  <c r="O13" i="3" s="1"/>
  <c r="Q13" i="3" s="1"/>
  <c r="H9" i="3" l="1"/>
  <c r="F10" i="3" s="1"/>
  <c r="J9" i="3"/>
  <c r="L9" i="3" s="1"/>
  <c r="O14" i="3" s="1"/>
  <c r="Q14" i="3" s="1"/>
  <c r="J8" i="2"/>
  <c r="L8" i="2" s="1"/>
  <c r="O13" i="2" s="1"/>
  <c r="Q13" i="2" s="1"/>
  <c r="H7" i="1"/>
  <c r="F8" i="1" s="1"/>
  <c r="H9" i="2"/>
  <c r="F10" i="2" s="1"/>
  <c r="J9" i="2"/>
  <c r="L9" i="2" s="1"/>
  <c r="O14" i="2" s="1"/>
  <c r="Q14" i="2" s="1"/>
  <c r="J7" i="1" l="1"/>
  <c r="L7" i="1" s="1"/>
  <c r="O12" i="1" s="1"/>
  <c r="Q12" i="1" s="1"/>
  <c r="H10" i="3"/>
  <c r="F11" i="3" s="1"/>
  <c r="H10" i="2"/>
  <c r="F11" i="2" s="1"/>
  <c r="H8" i="1"/>
  <c r="F9" i="1" s="1"/>
  <c r="J10" i="2" l="1"/>
  <c r="L10" i="2" s="1"/>
  <c r="O15" i="2" s="1"/>
  <c r="Q15" i="2" s="1"/>
  <c r="H9" i="1"/>
  <c r="F10" i="1" s="1"/>
  <c r="J9" i="1"/>
  <c r="L9" i="1" s="1"/>
  <c r="O14" i="1" s="1"/>
  <c r="Q14" i="1" s="1"/>
  <c r="H11" i="2"/>
  <c r="F12" i="2" s="1"/>
  <c r="H11" i="3"/>
  <c r="F12" i="3" s="1"/>
  <c r="J11" i="3"/>
  <c r="L11" i="3" s="1"/>
  <c r="O16" i="3" s="1"/>
  <c r="Q16" i="3" s="1"/>
  <c r="J10" i="3"/>
  <c r="L10" i="3" s="1"/>
  <c r="O15" i="3" s="1"/>
  <c r="Q15" i="3" s="1"/>
  <c r="J8" i="1"/>
  <c r="L8" i="1" s="1"/>
  <c r="O13" i="1" s="1"/>
  <c r="Q13" i="1" s="1"/>
  <c r="J11" i="2" l="1"/>
  <c r="L11" i="2" s="1"/>
  <c r="O16" i="2" s="1"/>
  <c r="Q16" i="2" s="1"/>
  <c r="H12" i="3"/>
  <c r="F13" i="3" s="1"/>
  <c r="J12" i="3"/>
  <c r="L12" i="3" s="1"/>
  <c r="O17" i="3" s="1"/>
  <c r="Q17" i="3" s="1"/>
  <c r="H12" i="2"/>
  <c r="F13" i="2" s="1"/>
  <c r="H10" i="1"/>
  <c r="F11" i="1" s="1"/>
  <c r="J10" i="1"/>
  <c r="L10" i="1" s="1"/>
  <c r="O15" i="1" s="1"/>
  <c r="Q15" i="1" s="1"/>
  <c r="J12" i="2" l="1"/>
  <c r="L12" i="2" s="1"/>
  <c r="O17" i="2" s="1"/>
  <c r="Q17" i="2" s="1"/>
  <c r="H11" i="1"/>
  <c r="F12" i="1" s="1"/>
  <c r="H13" i="2"/>
  <c r="F14" i="2" s="1"/>
  <c r="J13" i="2"/>
  <c r="L13" i="2" s="1"/>
  <c r="O18" i="2" s="1"/>
  <c r="Q18" i="2" s="1"/>
  <c r="H13" i="3"/>
  <c r="F14" i="3" s="1"/>
  <c r="J13" i="3"/>
  <c r="L13" i="3" s="1"/>
  <c r="O18" i="3" s="1"/>
  <c r="Q18" i="3" s="1"/>
  <c r="J11" i="1" l="1"/>
  <c r="L11" i="1" s="1"/>
  <c r="O16" i="1" s="1"/>
  <c r="Q16" i="1" s="1"/>
  <c r="H14" i="3"/>
  <c r="F15" i="3" s="1"/>
  <c r="J14" i="3"/>
  <c r="L14" i="3" s="1"/>
  <c r="O19" i="3" s="1"/>
  <c r="Q19" i="3" s="1"/>
  <c r="H14" i="2"/>
  <c r="F15" i="2" s="1"/>
  <c r="H12" i="1"/>
  <c r="F13" i="1" s="1"/>
  <c r="J12" i="1"/>
  <c r="L12" i="1" s="1"/>
  <c r="O17" i="1" s="1"/>
  <c r="Q17" i="1" s="1"/>
  <c r="J14" i="2" l="1"/>
  <c r="L14" i="2" s="1"/>
  <c r="O19" i="2" s="1"/>
  <c r="Q19" i="2" s="1"/>
  <c r="H13" i="1"/>
  <c r="F14" i="1" s="1"/>
  <c r="J13" i="1"/>
  <c r="L13" i="1" s="1"/>
  <c r="O18" i="1" s="1"/>
  <c r="Q18" i="1" s="1"/>
  <c r="H15" i="2"/>
  <c r="F16" i="2" s="1"/>
  <c r="H15" i="3"/>
  <c r="F16" i="3" s="1"/>
  <c r="J15" i="3"/>
  <c r="L15" i="3" s="1"/>
  <c r="O20" i="3" s="1"/>
  <c r="Q20" i="3" s="1"/>
  <c r="J15" i="2" l="1"/>
  <c r="L15" i="2" s="1"/>
  <c r="O20" i="2" s="1"/>
  <c r="Q20" i="2" s="1"/>
  <c r="H16" i="3"/>
  <c r="F17" i="3" s="1"/>
  <c r="H17" i="3" s="1"/>
  <c r="J17" i="3" s="1"/>
  <c r="L17" i="3" s="1"/>
  <c r="O22" i="3" s="1"/>
  <c r="Q22" i="3" s="1"/>
  <c r="H16" i="2"/>
  <c r="F17" i="2" s="1"/>
  <c r="H17" i="2" s="1"/>
  <c r="J17" i="2" s="1"/>
  <c r="L17" i="2" s="1"/>
  <c r="O22" i="2" s="1"/>
  <c r="Q22" i="2" s="1"/>
  <c r="J16" i="2"/>
  <c r="L16" i="2" s="1"/>
  <c r="O21" i="2" s="1"/>
  <c r="Q21" i="2" s="1"/>
  <c r="H14" i="1"/>
  <c r="F15" i="1" s="1"/>
  <c r="J14" i="1" l="1"/>
  <c r="L14" i="1" s="1"/>
  <c r="O19" i="1" s="1"/>
  <c r="Q19" i="1" s="1"/>
  <c r="J16" i="3"/>
  <c r="L16" i="3" s="1"/>
  <c r="O21" i="3" s="1"/>
  <c r="Q21" i="3" s="1"/>
  <c r="H15" i="1"/>
  <c r="F16" i="1" s="1"/>
  <c r="J15" i="1"/>
  <c r="L15" i="1" s="1"/>
  <c r="O20" i="1" s="1"/>
  <c r="Q20" i="1" s="1"/>
  <c r="E21" i="3"/>
  <c r="E21" i="2"/>
  <c r="H16" i="1" l="1"/>
  <c r="F17" i="1" s="1"/>
  <c r="H17" i="1" s="1"/>
  <c r="J17" i="1" s="1"/>
  <c r="L17" i="1" s="1"/>
  <c r="O22" i="1" s="1"/>
  <c r="Q22" i="1" s="1"/>
  <c r="J16" i="1" l="1"/>
  <c r="L16" i="1" s="1"/>
  <c r="O21" i="1" s="1"/>
  <c r="Q21" i="1" s="1"/>
  <c r="E21" i="1"/>
</calcChain>
</file>

<file path=xl/sharedStrings.xml><?xml version="1.0" encoding="utf-8"?>
<sst xmlns="http://schemas.openxmlformats.org/spreadsheetml/2006/main" count="243" uniqueCount="40">
  <si>
    <t>Acreage</t>
  </si>
  <si>
    <t>Cost per Acre</t>
  </si>
  <si>
    <t>Total Acreage Cost</t>
  </si>
  <si>
    <t>Seismic Sections</t>
  </si>
  <si>
    <t>Seismic Cost per Section</t>
  </si>
  <si>
    <t>Total Seismic Costs</t>
  </si>
  <si>
    <t>Wells</t>
  </si>
  <si>
    <t>Acreage Cost per Well</t>
  </si>
  <si>
    <t>Seismic Cost per Well</t>
  </si>
  <si>
    <t>INITIAL COSTS</t>
  </si>
  <si>
    <t>Drilling Cost</t>
  </si>
  <si>
    <t>Log Drilling Cost</t>
  </si>
  <si>
    <t>Total Professional Overhead</t>
  </si>
  <si>
    <t>Proportion of Time Spent</t>
  </si>
  <si>
    <t>Professional Overhead Cost</t>
  </si>
  <si>
    <t>FIXED COSTS</t>
  </si>
  <si>
    <t>COMPLETION COSTS</t>
  </si>
  <si>
    <t>REVENUE</t>
  </si>
  <si>
    <t>Initial Production</t>
  </si>
  <si>
    <t>Decline Rate</t>
  </si>
  <si>
    <t>Year</t>
  </si>
  <si>
    <t>End Production</t>
  </si>
  <si>
    <t>Total Production</t>
  </si>
  <si>
    <t>Price</t>
  </si>
  <si>
    <t>TOTAL REVENUE</t>
  </si>
  <si>
    <t>VARIABLE COSTS</t>
  </si>
  <si>
    <t>NRI</t>
  </si>
  <si>
    <t>Tax</t>
  </si>
  <si>
    <t>Operating Cost per Barrel</t>
  </si>
  <si>
    <t>FINAL NET REVENUE</t>
  </si>
  <si>
    <t>NET PRESENT VALUE</t>
  </si>
  <si>
    <t>AFTER WACC</t>
  </si>
  <si>
    <t>WACC</t>
  </si>
  <si>
    <t>Dry Hole Risk</t>
  </si>
  <si>
    <t>Hydrocarbons</t>
  </si>
  <si>
    <t>Reservoir</t>
  </si>
  <si>
    <t>OIL STRUCK</t>
  </si>
  <si>
    <t>High Oil Price</t>
  </si>
  <si>
    <t>Low Oil Price</t>
  </si>
  <si>
    <r>
      <t>AEO2013</t>
    </r>
    <r>
      <rPr>
        <b/>
        <sz val="10"/>
        <rFont val="Arial"/>
        <family val="2"/>
      </rPr>
      <t xml:space="preserve"> Reference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</si>
</sst>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164" fontId="5" fillId="2" borderId="0" xfId="0" applyNumberFormat="1" applyFont="1" applyFill="1"/>
    <xf numFmtId="0" fontId="1" fillId="3" borderId="0" xfId="0" applyFont="1" applyFill="1"/>
    <xf numFmtId="0" fontId="3" fillId="4" borderId="0" xfId="0" applyFont="1" applyFill="1"/>
    <xf numFmtId="0" fontId="8" fillId="0" borderId="0" xfId="0" applyFont="1"/>
    <xf numFmtId="1" fontId="7" fillId="5" borderId="0" xfId="0" applyNumberFormat="1" applyFont="1" applyFill="1" applyBorder="1" applyAlignment="1">
      <alignment horizontal="right"/>
    </xf>
    <xf numFmtId="0" fontId="7" fillId="5" borderId="3" xfId="0" applyFont="1" applyFill="1" applyBorder="1" applyAlignment="1">
      <alignment wrapText="1"/>
    </xf>
    <xf numFmtId="0" fontId="9" fillId="5" borderId="3" xfId="0" applyFont="1" applyFill="1" applyBorder="1" applyAlignment="1">
      <alignment wrapText="1"/>
    </xf>
    <xf numFmtId="1" fontId="7" fillId="5" borderId="4" xfId="0" applyNumberFormat="1" applyFont="1" applyFill="1" applyBorder="1" applyAlignment="1">
      <alignment horizontal="right"/>
    </xf>
    <xf numFmtId="2" fontId="10" fillId="6" borderId="2" xfId="0" applyNumberFormat="1" applyFont="1" applyFill="1" applyBorder="1"/>
    <xf numFmtId="1" fontId="7" fillId="5" borderId="5" xfId="0" applyNumberFormat="1" applyFont="1" applyFill="1" applyBorder="1" applyAlignment="1">
      <alignment horizontal="right"/>
    </xf>
    <xf numFmtId="2" fontId="10" fillId="7" borderId="1" xfId="0" applyNumberFormat="1" applyFont="1" applyFill="1" applyBorder="1"/>
    <xf numFmtId="2" fontId="10" fillId="6" borderId="1" xfId="0" applyNumberFormat="1" applyFont="1" applyFill="1" applyBorder="1"/>
    <xf numFmtId="0" fontId="0" fillId="3" borderId="0" xfId="0" applyFill="1"/>
    <xf numFmtId="0" fontId="1" fillId="3" borderId="0" xfId="0" applyFont="1" applyFill="1" applyAlignment="1">
      <alignment horizontal="left"/>
    </xf>
    <xf numFmtId="2" fontId="7" fillId="8" borderId="2" xfId="0" applyNumberFormat="1" applyFont="1" applyFill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10" zoomScale="90" zoomScaleNormal="90" workbookViewId="0">
      <selection activeCell="H20" sqref="A1:XFD1048576"/>
    </sheetView>
  </sheetViews>
  <sheetFormatPr defaultRowHeight="14.5" x14ac:dyDescent="0.35"/>
  <cols>
    <col min="1" max="1" width="24.6328125" bestFit="1" customWidth="1"/>
    <col min="2" max="2" width="14" bestFit="1" customWidth="1"/>
    <col min="5" max="5" width="15.08984375" bestFit="1" customWidth="1"/>
    <col min="6" max="6" width="12.90625" bestFit="1" customWidth="1"/>
    <col min="7" max="7" width="13.6328125" bestFit="1" customWidth="1"/>
    <col min="8" max="8" width="19.36328125" bestFit="1" customWidth="1"/>
    <col min="9" max="9" width="13.6328125" bestFit="1" customWidth="1"/>
    <col min="10" max="10" width="9.08984375" customWidth="1"/>
    <col min="12" max="12" width="14.453125" bestFit="1" customWidth="1"/>
    <col min="14" max="14" width="21.90625" customWidth="1"/>
    <col min="16" max="16" width="11.6328125" bestFit="1" customWidth="1"/>
  </cols>
  <sheetData>
    <row r="1" spans="1:17" ht="26" x14ac:dyDescent="0.6">
      <c r="A1" s="2" t="s">
        <v>15</v>
      </c>
      <c r="B1" s="2">
        <f ca="1">B2+(B24*B22)</f>
        <v>2066013.884172973</v>
      </c>
      <c r="D1" s="24" t="s">
        <v>17</v>
      </c>
      <c r="E1" s="24"/>
      <c r="N1" s="2" t="s">
        <v>25</v>
      </c>
    </row>
    <row r="2" spans="1:17" ht="15" thickBot="1" x14ac:dyDescent="0.4">
      <c r="A2" s="1" t="s">
        <v>9</v>
      </c>
      <c r="B2" s="10">
        <f ca="1">SUM(B7,B11,B13,B16,)</f>
        <v>2066013.884172973</v>
      </c>
      <c r="D2" s="8" t="s">
        <v>20</v>
      </c>
      <c r="E2" s="21" t="s">
        <v>19</v>
      </c>
      <c r="F2" s="21">
        <f ca="1">_xll.PsiUniform(0.15,0.3)</f>
        <v>0.2157443556677506</v>
      </c>
      <c r="K2" s="22" t="s">
        <v>23</v>
      </c>
      <c r="L2" s="7" t="s">
        <v>24</v>
      </c>
      <c r="N2" t="s">
        <v>26</v>
      </c>
      <c r="O2" s="21">
        <f ca="1">_xll.PsiNormal(0.75,0.02)</f>
        <v>0.7547161220437939</v>
      </c>
    </row>
    <row r="3" spans="1:17" s="4" customFormat="1" ht="15.5" thickTop="1" thickBot="1" x14ac:dyDescent="0.4">
      <c r="A3" s="3" t="s">
        <v>6</v>
      </c>
      <c r="B3" s="11">
        <f ca="1">INT(_xll.PsiUniform(10,30))</f>
        <v>13</v>
      </c>
      <c r="D3" s="5">
        <v>1</v>
      </c>
      <c r="E3" t="s">
        <v>18</v>
      </c>
      <c r="F3" s="21">
        <f ca="1">B22*_xll.PsiNormal(400,120)</f>
        <v>0</v>
      </c>
      <c r="G3" t="s">
        <v>21</v>
      </c>
      <c r="H3" s="4">
        <f ca="1">F3*(1-$F$2)</f>
        <v>0</v>
      </c>
      <c r="I3" s="6" t="s">
        <v>22</v>
      </c>
      <c r="J3" s="6">
        <f ca="1">365*(AVERAGE(F3,H3))</f>
        <v>0</v>
      </c>
      <c r="K3" s="23">
        <f ca="1">_xll.PsiTriangular(G25,H25,F25)</f>
        <v>97.794501302291678</v>
      </c>
      <c r="L3" s="9">
        <f ca="1">J3*K3</f>
        <v>0</v>
      </c>
      <c r="N3" t="s">
        <v>27</v>
      </c>
      <c r="O3">
        <v>0.06</v>
      </c>
    </row>
    <row r="4" spans="1:17" s="4" customFormat="1" ht="15.5" thickTop="1" thickBot="1" x14ac:dyDescent="0.4">
      <c r="A4" s="3" t="s">
        <v>0</v>
      </c>
      <c r="B4" s="11">
        <f ca="1">_xll.PsiNormal(12000, 1000)</f>
        <v>12177.152758334985</v>
      </c>
      <c r="D4" s="5">
        <v>2</v>
      </c>
      <c r="E4" s="4" t="s">
        <v>18</v>
      </c>
      <c r="F4" s="4">
        <f ca="1">H3</f>
        <v>0</v>
      </c>
      <c r="G4" t="s">
        <v>21</v>
      </c>
      <c r="H4" s="4">
        <f ca="1">F4*(1-$F$2)</f>
        <v>0</v>
      </c>
      <c r="I4" s="6" t="s">
        <v>22</v>
      </c>
      <c r="J4" s="6">
        <f t="shared" ref="J4:J17" ca="1" si="0">365*(AVERAGE(F4,H4))</f>
        <v>0</v>
      </c>
      <c r="K4" s="23">
        <f ca="1">_xll.PsiTriangular(G26,H26,F26)</f>
        <v>105.42502636022525</v>
      </c>
      <c r="L4" s="9">
        <f t="shared" ref="L4:L17" ca="1" si="1">J4*K4</f>
        <v>0</v>
      </c>
      <c r="N4" t="s">
        <v>28</v>
      </c>
      <c r="O4" s="21">
        <f ca="1">_xll.PsiNormal(6.8,1)</f>
        <v>7.2782124923216109</v>
      </c>
    </row>
    <row r="5" spans="1:17" s="4" customFormat="1" ht="15.5" thickTop="1" thickBot="1" x14ac:dyDescent="0.4">
      <c r="A5" s="3" t="s">
        <v>1</v>
      </c>
      <c r="B5" s="3">
        <v>960</v>
      </c>
      <c r="D5" s="5">
        <v>3</v>
      </c>
      <c r="E5" t="s">
        <v>18</v>
      </c>
      <c r="F5" s="4">
        <f ca="1">H4</f>
        <v>0</v>
      </c>
      <c r="G5" t="s">
        <v>21</v>
      </c>
      <c r="H5" s="4">
        <f ca="1">F5*(1-$F$2)</f>
        <v>0</v>
      </c>
      <c r="I5" s="6" t="s">
        <v>22</v>
      </c>
      <c r="J5" s="6">
        <f t="shared" ca="1" si="0"/>
        <v>0</v>
      </c>
      <c r="K5" s="23">
        <f ca="1">_xll.PsiTriangular(G27,H27,F27)</f>
        <v>102.87591536956525</v>
      </c>
      <c r="L5" s="9">
        <f t="shared" ca="1" si="1"/>
        <v>0</v>
      </c>
    </row>
    <row r="6" spans="1:17" s="4" customFormat="1" ht="15.5" thickTop="1" thickBot="1" x14ac:dyDescent="0.4">
      <c r="A6" s="3" t="s">
        <v>2</v>
      </c>
      <c r="B6" s="11">
        <f ca="1">B4*B5</f>
        <v>11690066.648001585</v>
      </c>
      <c r="D6" s="5">
        <v>4</v>
      </c>
      <c r="E6" s="4" t="s">
        <v>18</v>
      </c>
      <c r="F6" s="4">
        <f t="shared" ref="F6:F17" ca="1" si="2">H5</f>
        <v>0</v>
      </c>
      <c r="G6" t="s">
        <v>21</v>
      </c>
      <c r="H6" s="4">
        <f t="shared" ref="H6:H17" ca="1" si="3">F6*(1-$F$2)</f>
        <v>0</v>
      </c>
      <c r="I6" s="6" t="s">
        <v>22</v>
      </c>
      <c r="J6" s="6">
        <f t="shared" ca="1" si="0"/>
        <v>0</v>
      </c>
      <c r="K6" s="23">
        <f ca="1">_xll.PsiTriangular(G28,H28,F28)</f>
        <v>98.447305316879152</v>
      </c>
      <c r="L6" s="9">
        <f t="shared" ca="1" si="1"/>
        <v>0</v>
      </c>
    </row>
    <row r="7" spans="1:17" ht="27" thickTop="1" thickBot="1" x14ac:dyDescent="0.65">
      <c r="A7" s="1" t="s">
        <v>7</v>
      </c>
      <c r="B7" s="10">
        <f ca="1">B6/B3</f>
        <v>899235.89600012195</v>
      </c>
      <c r="D7" s="5">
        <v>5</v>
      </c>
      <c r="E7" t="s">
        <v>18</v>
      </c>
      <c r="F7" s="4">
        <f t="shared" ca="1" si="2"/>
        <v>0</v>
      </c>
      <c r="G7" t="s">
        <v>21</v>
      </c>
      <c r="H7" s="4">
        <f t="shared" ca="1" si="3"/>
        <v>0</v>
      </c>
      <c r="I7" s="6" t="s">
        <v>22</v>
      </c>
      <c r="J7" s="6">
        <f t="shared" ca="1" si="0"/>
        <v>0</v>
      </c>
      <c r="K7" s="23">
        <f ca="1">_xll.PsiTriangular(G29,H29,F29)</f>
        <v>139.13574054542585</v>
      </c>
      <c r="L7" s="9">
        <f t="shared" ca="1" si="1"/>
        <v>0</v>
      </c>
      <c r="N7" s="2" t="s">
        <v>29</v>
      </c>
      <c r="P7" t="s">
        <v>32</v>
      </c>
      <c r="Q7" t="s">
        <v>31</v>
      </c>
    </row>
    <row r="8" spans="1:17" s="4" customFormat="1" ht="15.5" thickTop="1" thickBot="1" x14ac:dyDescent="0.4">
      <c r="A8" s="3" t="s">
        <v>3</v>
      </c>
      <c r="B8" s="11">
        <f ca="1">INT(_xll.PsiNormal(50,7))</f>
        <v>58</v>
      </c>
      <c r="D8" s="5">
        <v>6</v>
      </c>
      <c r="E8" s="4" t="s">
        <v>18</v>
      </c>
      <c r="F8" s="4">
        <f t="shared" ca="1" si="2"/>
        <v>0</v>
      </c>
      <c r="G8" t="s">
        <v>21</v>
      </c>
      <c r="H8" s="4">
        <f t="shared" ca="1" si="3"/>
        <v>0</v>
      </c>
      <c r="I8" s="6" t="s">
        <v>22</v>
      </c>
      <c r="J8" s="6">
        <f t="shared" ca="1" si="0"/>
        <v>0</v>
      </c>
      <c r="K8" s="23">
        <f ca="1">_xll.PsiTriangular(G30,H30,F30)</f>
        <v>108.51006000231958</v>
      </c>
      <c r="L8" s="9">
        <f t="shared" ca="1" si="1"/>
        <v>0</v>
      </c>
      <c r="N8" s="5">
        <v>1</v>
      </c>
      <c r="O8" s="5">
        <f ca="1">((L3*$O$2)*(1-$O$3))-($O$4*J3)</f>
        <v>0</v>
      </c>
      <c r="P8" s="4">
        <v>0.1</v>
      </c>
      <c r="Q8" s="4">
        <f ca="1">O8/((1+P8)^N8)</f>
        <v>0</v>
      </c>
    </row>
    <row r="9" spans="1:17" s="4" customFormat="1" ht="15.5" thickTop="1" thickBot="1" x14ac:dyDescent="0.4">
      <c r="A9" s="3" t="s">
        <v>4</v>
      </c>
      <c r="B9" s="3">
        <v>43000</v>
      </c>
      <c r="D9" s="5">
        <v>7</v>
      </c>
      <c r="E9" t="s">
        <v>18</v>
      </c>
      <c r="F9" s="4">
        <f t="shared" ca="1" si="2"/>
        <v>0</v>
      </c>
      <c r="G9" t="s">
        <v>21</v>
      </c>
      <c r="H9" s="4">
        <f t="shared" ca="1" si="3"/>
        <v>0</v>
      </c>
      <c r="I9" s="6" t="s">
        <v>22</v>
      </c>
      <c r="J9" s="6">
        <f t="shared" ca="1" si="0"/>
        <v>0</v>
      </c>
      <c r="K9" s="23">
        <f ca="1">_xll.PsiTriangular(G31,H31,F31)</f>
        <v>115.09424377488422</v>
      </c>
      <c r="L9" s="9">
        <f t="shared" ca="1" si="1"/>
        <v>0</v>
      </c>
      <c r="N9" s="5">
        <v>2</v>
      </c>
      <c r="O9" s="5">
        <f t="shared" ref="O9:O22" ca="1" si="4">((L4*$O$2)*(1-$O$3))-($O$4*J4)</f>
        <v>0</v>
      </c>
      <c r="P9" s="4">
        <v>0.1</v>
      </c>
      <c r="Q9" s="4">
        <f t="shared" ref="Q9:Q22" ca="1" si="5">O9/((1+P9)^N9)</f>
        <v>0</v>
      </c>
    </row>
    <row r="10" spans="1:17" s="4" customFormat="1" ht="15.5" thickTop="1" thickBot="1" x14ac:dyDescent="0.4">
      <c r="A10" s="3" t="s">
        <v>5</v>
      </c>
      <c r="B10" s="3">
        <f ca="1">PRODUCT(B8:B9)</f>
        <v>2494000</v>
      </c>
      <c r="D10" s="5">
        <v>8</v>
      </c>
      <c r="E10" s="4" t="s">
        <v>18</v>
      </c>
      <c r="F10" s="4">
        <f t="shared" ca="1" si="2"/>
        <v>0</v>
      </c>
      <c r="G10" t="s">
        <v>21</v>
      </c>
      <c r="H10" s="4">
        <f t="shared" ca="1" si="3"/>
        <v>0</v>
      </c>
      <c r="I10" s="6" t="s">
        <v>22</v>
      </c>
      <c r="J10" s="6">
        <f t="shared" ca="1" si="0"/>
        <v>0</v>
      </c>
      <c r="K10" s="23">
        <f ca="1">_xll.PsiTriangular(G32,H32,F32)</f>
        <v>103.53707082998864</v>
      </c>
      <c r="L10" s="9">
        <f t="shared" ca="1" si="1"/>
        <v>0</v>
      </c>
      <c r="N10" s="5">
        <v>3</v>
      </c>
      <c r="O10" s="5">
        <f t="shared" ca="1" si="4"/>
        <v>0</v>
      </c>
      <c r="P10" s="4">
        <v>0.1</v>
      </c>
      <c r="Q10" s="4">
        <f t="shared" ca="1" si="5"/>
        <v>0</v>
      </c>
    </row>
    <row r="11" spans="1:17" ht="15.5" thickTop="1" thickBot="1" x14ac:dyDescent="0.4">
      <c r="A11" s="1" t="s">
        <v>8</v>
      </c>
      <c r="B11" s="10">
        <f ca="1">B10/B3</f>
        <v>191846.15384615384</v>
      </c>
      <c r="D11" s="5">
        <v>9</v>
      </c>
      <c r="E11" t="s">
        <v>18</v>
      </c>
      <c r="F11" s="4">
        <f t="shared" ca="1" si="2"/>
        <v>0</v>
      </c>
      <c r="G11" t="s">
        <v>21</v>
      </c>
      <c r="H11" s="4">
        <f t="shared" ca="1" si="3"/>
        <v>0</v>
      </c>
      <c r="I11" s="6" t="s">
        <v>22</v>
      </c>
      <c r="J11" s="6">
        <f t="shared" ca="1" si="0"/>
        <v>0</v>
      </c>
      <c r="K11" s="23">
        <f ca="1">_xll.PsiTriangular(G33,H33,F33)</f>
        <v>134.84796611117582</v>
      </c>
      <c r="L11" s="9">
        <f t="shared" ca="1" si="1"/>
        <v>0</v>
      </c>
      <c r="N11" s="5">
        <v>4</v>
      </c>
      <c r="O11" s="5">
        <f t="shared" ca="1" si="4"/>
        <v>0</v>
      </c>
      <c r="P11" s="4">
        <v>0.1</v>
      </c>
      <c r="Q11" s="4">
        <f t="shared" ca="1" si="5"/>
        <v>0</v>
      </c>
    </row>
    <row r="12" spans="1:17" s="4" customFormat="1" ht="15.5" thickTop="1" thickBot="1" x14ac:dyDescent="0.4">
      <c r="A12" s="3" t="s">
        <v>11</v>
      </c>
      <c r="B12" s="4">
        <f ca="1">_xll.PsiNormal(7.24, 0.589)</f>
        <v>6.6387117995361251</v>
      </c>
      <c r="D12" s="5">
        <v>10</v>
      </c>
      <c r="E12" s="4" t="s">
        <v>18</v>
      </c>
      <c r="F12" s="4">
        <f t="shared" ca="1" si="2"/>
        <v>0</v>
      </c>
      <c r="G12" t="s">
        <v>21</v>
      </c>
      <c r="H12" s="4">
        <f t="shared" ca="1" si="3"/>
        <v>0</v>
      </c>
      <c r="I12" s="6" t="s">
        <v>22</v>
      </c>
      <c r="J12" s="6">
        <f t="shared" ca="1" si="0"/>
        <v>0</v>
      </c>
      <c r="K12" s="23">
        <f ca="1">_xll.PsiTriangular(G34,H34,F34)</f>
        <v>119.87300251342513</v>
      </c>
      <c r="L12" s="9">
        <f t="shared" ca="1" si="1"/>
        <v>0</v>
      </c>
      <c r="N12" s="5">
        <v>5</v>
      </c>
      <c r="O12" s="5">
        <f t="shared" ca="1" si="4"/>
        <v>0</v>
      </c>
      <c r="P12" s="4">
        <v>0.1</v>
      </c>
      <c r="Q12" s="4">
        <f t="shared" ca="1" si="5"/>
        <v>0</v>
      </c>
    </row>
    <row r="13" spans="1:17" ht="15.5" thickTop="1" thickBot="1" x14ac:dyDescent="0.4">
      <c r="A13" s="1" t="s">
        <v>10</v>
      </c>
      <c r="B13" s="10">
        <f ca="1">EXP(B12)*1000</f>
        <v>764110.0318450511</v>
      </c>
      <c r="D13" s="5">
        <v>11</v>
      </c>
      <c r="E13" t="s">
        <v>18</v>
      </c>
      <c r="F13" s="4">
        <f t="shared" ca="1" si="2"/>
        <v>0</v>
      </c>
      <c r="G13" t="s">
        <v>21</v>
      </c>
      <c r="H13" s="4">
        <f t="shared" ca="1" si="3"/>
        <v>0</v>
      </c>
      <c r="I13" s="6" t="s">
        <v>22</v>
      </c>
      <c r="J13" s="6">
        <f t="shared" ca="1" si="0"/>
        <v>0</v>
      </c>
      <c r="K13" s="23">
        <f ca="1">_xll.PsiTriangular(G35,H35,F35)</f>
        <v>161.18796099773024</v>
      </c>
      <c r="L13" s="9">
        <f t="shared" ca="1" si="1"/>
        <v>0</v>
      </c>
      <c r="N13" s="5">
        <v>6</v>
      </c>
      <c r="O13" s="5">
        <f t="shared" ca="1" si="4"/>
        <v>0</v>
      </c>
      <c r="P13" s="4">
        <v>0.1</v>
      </c>
      <c r="Q13" s="4">
        <f t="shared" ca="1" si="5"/>
        <v>0</v>
      </c>
    </row>
    <row r="14" spans="1:17" s="3" customFormat="1" ht="15.5" thickTop="1" thickBot="1" x14ac:dyDescent="0.4">
      <c r="A14" s="3" t="s">
        <v>12</v>
      </c>
      <c r="B14" s="3">
        <v>420000</v>
      </c>
      <c r="D14" s="5">
        <v>12</v>
      </c>
      <c r="E14" s="4" t="s">
        <v>18</v>
      </c>
      <c r="F14" s="4">
        <f t="shared" ca="1" si="2"/>
        <v>0</v>
      </c>
      <c r="G14" t="s">
        <v>21</v>
      </c>
      <c r="H14" s="4">
        <f t="shared" ca="1" si="3"/>
        <v>0</v>
      </c>
      <c r="I14" s="6" t="s">
        <v>22</v>
      </c>
      <c r="J14" s="6">
        <f t="shared" ca="1" si="0"/>
        <v>0</v>
      </c>
      <c r="K14" s="23">
        <f ca="1">_xll.PsiTriangular(G36,H36,F36)</f>
        <v>127.6394062332827</v>
      </c>
      <c r="L14" s="9">
        <f t="shared" ca="1" si="1"/>
        <v>0</v>
      </c>
      <c r="N14" s="5">
        <v>7</v>
      </c>
      <c r="O14" s="5">
        <f t="shared" ca="1" si="4"/>
        <v>0</v>
      </c>
      <c r="P14" s="4">
        <v>0.1</v>
      </c>
      <c r="Q14" s="4">
        <f t="shared" ca="1" si="5"/>
        <v>0</v>
      </c>
    </row>
    <row r="15" spans="1:17" s="3" customFormat="1" ht="15.5" thickTop="1" thickBot="1" x14ac:dyDescent="0.4">
      <c r="A15" s="3" t="s">
        <v>13</v>
      </c>
      <c r="B15" s="3">
        <f ca="1">_xll.PsiTriangular(0.4,0.5,0.65)</f>
        <v>0.50195667257534815</v>
      </c>
      <c r="D15" s="5">
        <v>13</v>
      </c>
      <c r="E15" t="s">
        <v>18</v>
      </c>
      <c r="F15" s="4">
        <f t="shared" ca="1" si="2"/>
        <v>0</v>
      </c>
      <c r="G15" t="s">
        <v>21</v>
      </c>
      <c r="H15" s="4">
        <f t="shared" ca="1" si="3"/>
        <v>0</v>
      </c>
      <c r="I15" s="6" t="s">
        <v>22</v>
      </c>
      <c r="J15" s="6">
        <f t="shared" ca="1" si="0"/>
        <v>0</v>
      </c>
      <c r="K15" s="23">
        <f ca="1">_xll.PsiTriangular(G37,H37,F37)</f>
        <v>152.98393604542042</v>
      </c>
      <c r="L15" s="9">
        <f t="shared" ca="1" si="1"/>
        <v>0</v>
      </c>
      <c r="N15" s="5">
        <v>8</v>
      </c>
      <c r="O15" s="5">
        <f t="shared" ca="1" si="4"/>
        <v>0</v>
      </c>
      <c r="P15" s="4">
        <v>0.1</v>
      </c>
      <c r="Q15" s="4">
        <f t="shared" ca="1" si="5"/>
        <v>0</v>
      </c>
    </row>
    <row r="16" spans="1:17" s="1" customFormat="1" ht="15.5" thickTop="1" thickBot="1" x14ac:dyDescent="0.4">
      <c r="A16" s="1" t="s">
        <v>14</v>
      </c>
      <c r="B16" s="10">
        <f ca="1">B14*B15</f>
        <v>210821.80248164621</v>
      </c>
      <c r="D16" s="5">
        <v>14</v>
      </c>
      <c r="E16" s="4" t="s">
        <v>18</v>
      </c>
      <c r="F16" s="4">
        <f t="shared" ca="1" si="2"/>
        <v>0</v>
      </c>
      <c r="G16" t="s">
        <v>21</v>
      </c>
      <c r="H16" s="4">
        <f t="shared" ca="1" si="3"/>
        <v>0</v>
      </c>
      <c r="I16" s="6" t="s">
        <v>22</v>
      </c>
      <c r="J16" s="6">
        <f t="shared" ca="1" si="0"/>
        <v>0</v>
      </c>
      <c r="K16" s="23">
        <f ca="1">_xll.PsiTriangular(G38,H38,F38)</f>
        <v>100.08903280226838</v>
      </c>
      <c r="L16" s="9">
        <f t="shared" ca="1" si="1"/>
        <v>0</v>
      </c>
      <c r="N16" s="5">
        <v>9</v>
      </c>
      <c r="O16" s="5">
        <f t="shared" ca="1" si="4"/>
        <v>0</v>
      </c>
      <c r="P16" s="4">
        <v>0.1</v>
      </c>
      <c r="Q16" s="4">
        <f t="shared" ca="1" si="5"/>
        <v>0</v>
      </c>
    </row>
    <row r="17" spans="1:17" s="1" customFormat="1" ht="15" thickTop="1" x14ac:dyDescent="0.35">
      <c r="D17" s="5">
        <v>15</v>
      </c>
      <c r="E17" t="s">
        <v>18</v>
      </c>
      <c r="F17" s="4">
        <f t="shared" ca="1" si="2"/>
        <v>0</v>
      </c>
      <c r="G17" t="s">
        <v>21</v>
      </c>
      <c r="H17" s="4">
        <f t="shared" ca="1" si="3"/>
        <v>0</v>
      </c>
      <c r="I17" s="6" t="s">
        <v>22</v>
      </c>
      <c r="J17" s="6">
        <f t="shared" ca="1" si="0"/>
        <v>0</v>
      </c>
      <c r="K17" s="23">
        <f ca="1">_xll.PsiTriangular(G39,H39,F39)</f>
        <v>141.01490080099811</v>
      </c>
      <c r="L17" s="9">
        <f t="shared" ca="1" si="1"/>
        <v>0</v>
      </c>
      <c r="N17" s="5">
        <v>10</v>
      </c>
      <c r="O17" s="5">
        <f t="shared" ca="1" si="4"/>
        <v>0</v>
      </c>
      <c r="P17" s="4">
        <v>0.1</v>
      </c>
      <c r="Q17" s="4">
        <f t="shared" ca="1" si="5"/>
        <v>0</v>
      </c>
    </row>
    <row r="18" spans="1:17" s="1" customFormat="1" x14ac:dyDescent="0.35">
      <c r="A18" s="12" t="s">
        <v>34</v>
      </c>
      <c r="B18" s="12">
        <f ca="1">_xll.PsiNormal(0.99,0.05,_xll.PsiTruncate(-1E+30, 1))</f>
        <v>0.9988636457724912</v>
      </c>
      <c r="C18" s="12"/>
      <c r="N18" s="5">
        <v>11</v>
      </c>
      <c r="O18" s="5">
        <f t="shared" ca="1" si="4"/>
        <v>0</v>
      </c>
      <c r="P18" s="4">
        <v>0.1</v>
      </c>
      <c r="Q18" s="4">
        <f t="shared" ca="1" si="5"/>
        <v>0</v>
      </c>
    </row>
    <row r="19" spans="1:17" x14ac:dyDescent="0.35">
      <c r="A19" s="12" t="s">
        <v>35</v>
      </c>
      <c r="B19" s="12">
        <f ca="1">_xll.PsiNormal(0.75,0.1,_xll.PsiTruncate(-1E+30, 1))</f>
        <v>0.79539211655133912</v>
      </c>
      <c r="N19" s="5">
        <v>12</v>
      </c>
      <c r="O19" s="5">
        <f t="shared" ca="1" si="4"/>
        <v>0</v>
      </c>
      <c r="P19" s="4">
        <v>0.1</v>
      </c>
      <c r="Q19" s="4">
        <f t="shared" ca="1" si="5"/>
        <v>0</v>
      </c>
    </row>
    <row r="20" spans="1:17" ht="26" x14ac:dyDescent="0.6">
      <c r="A20" s="12"/>
      <c r="B20" s="12">
        <f ca="1">B19*B18</f>
        <v>0.79448826935716887</v>
      </c>
      <c r="E20" s="2" t="s">
        <v>30</v>
      </c>
      <c r="N20" s="5">
        <v>13</v>
      </c>
      <c r="O20" s="5">
        <f t="shared" ca="1" si="4"/>
        <v>0</v>
      </c>
      <c r="P20" s="4">
        <v>0.1</v>
      </c>
      <c r="Q20" s="4">
        <f t="shared" ca="1" si="5"/>
        <v>0</v>
      </c>
    </row>
    <row r="21" spans="1:17" x14ac:dyDescent="0.35">
      <c r="A21" s="12" t="s">
        <v>33</v>
      </c>
      <c r="B21" s="12">
        <f ca="1">_xll.PsiUniform(0,1)</f>
        <v>0.94701231180058354</v>
      </c>
      <c r="E21" s="10">
        <f ca="1">(-B1)+SUM(Q8:Q22) + _xll.PsiOutput()</f>
        <v>-2066013.884172973</v>
      </c>
      <c r="N21" s="5">
        <v>14</v>
      </c>
      <c r="O21" s="5">
        <f t="shared" ca="1" si="4"/>
        <v>0</v>
      </c>
      <c r="P21" s="4">
        <v>0.1</v>
      </c>
      <c r="Q21" s="4">
        <f t="shared" ca="1" si="5"/>
        <v>0</v>
      </c>
    </row>
    <row r="22" spans="1:17" x14ac:dyDescent="0.35">
      <c r="A22" s="1" t="s">
        <v>36</v>
      </c>
      <c r="B22" s="10">
        <f ca="1">IF(B20&lt;B21,0,1)</f>
        <v>0</v>
      </c>
      <c r="N22" s="5">
        <v>15</v>
      </c>
      <c r="O22" s="5">
        <f t="shared" ca="1" si="4"/>
        <v>0</v>
      </c>
      <c r="P22" s="4">
        <v>0.1</v>
      </c>
      <c r="Q22" s="4">
        <f t="shared" ca="1" si="5"/>
        <v>0</v>
      </c>
    </row>
    <row r="23" spans="1:17" ht="18" customHeight="1" x14ac:dyDescent="0.35">
      <c r="A23" s="1"/>
      <c r="B23" s="1"/>
      <c r="N23" s="5"/>
      <c r="O23" s="5"/>
      <c r="P23" s="4"/>
      <c r="Q23" s="4"/>
    </row>
    <row r="24" spans="1:17" ht="22" customHeight="1" thickBot="1" x14ac:dyDescent="0.4">
      <c r="A24" s="1" t="s">
        <v>16</v>
      </c>
      <c r="B24" s="10">
        <f ca="1">B22*_xll.PsiNormal(378000,40000)</f>
        <v>0</v>
      </c>
      <c r="E24" s="13" t="s">
        <v>20</v>
      </c>
      <c r="F24" s="14" t="s">
        <v>37</v>
      </c>
      <c r="G24" s="14" t="s">
        <v>38</v>
      </c>
      <c r="H24" s="15" t="s">
        <v>39</v>
      </c>
    </row>
    <row r="25" spans="1:17" ht="15" thickTop="1" x14ac:dyDescent="0.35">
      <c r="E25" s="16">
        <v>2014</v>
      </c>
      <c r="F25" s="17">
        <v>122.699997</v>
      </c>
      <c r="G25" s="17">
        <v>84.699996999999996</v>
      </c>
      <c r="H25" s="17">
        <v>97.000731999999999</v>
      </c>
    </row>
    <row r="26" spans="1:17" x14ac:dyDescent="0.35">
      <c r="E26" s="18">
        <v>2015</v>
      </c>
      <c r="F26" s="19">
        <v>133.699997</v>
      </c>
      <c r="G26" s="19">
        <v>78.699996999999996</v>
      </c>
      <c r="H26" s="19">
        <v>95.908195000000006</v>
      </c>
    </row>
    <row r="27" spans="1:17" x14ac:dyDescent="0.35">
      <c r="E27" s="18">
        <v>2016</v>
      </c>
      <c r="F27" s="20">
        <v>142.66999799999999</v>
      </c>
      <c r="G27" s="20">
        <v>73.669998000000007</v>
      </c>
      <c r="H27" s="20">
        <v>97.000731999999999</v>
      </c>
    </row>
    <row r="28" spans="1:17" x14ac:dyDescent="0.35">
      <c r="E28" s="18">
        <v>2017</v>
      </c>
      <c r="F28" s="19">
        <v>145.72314499999999</v>
      </c>
      <c r="G28" s="19">
        <v>69</v>
      </c>
      <c r="H28" s="19">
        <v>99.076545999999993</v>
      </c>
    </row>
    <row r="29" spans="1:17" x14ac:dyDescent="0.35">
      <c r="E29" s="18">
        <v>2018</v>
      </c>
      <c r="F29" s="20">
        <v>148.84161399999999</v>
      </c>
      <c r="G29" s="20">
        <v>68.800003000000004</v>
      </c>
      <c r="H29" s="20">
        <v>101.19678500000001</v>
      </c>
    </row>
    <row r="30" spans="1:17" x14ac:dyDescent="0.35">
      <c r="E30" s="18">
        <v>2019</v>
      </c>
      <c r="F30" s="19">
        <v>152.026825</v>
      </c>
      <c r="G30" s="19">
        <v>68.699996999999996</v>
      </c>
      <c r="H30" s="19">
        <v>103.362396</v>
      </c>
    </row>
    <row r="31" spans="1:17" x14ac:dyDescent="0.35">
      <c r="E31" s="18">
        <v>2020</v>
      </c>
      <c r="F31" s="20">
        <v>155.28019699999999</v>
      </c>
      <c r="G31" s="20">
        <v>68.900002000000001</v>
      </c>
      <c r="H31" s="20">
        <v>105.574348</v>
      </c>
    </row>
    <row r="32" spans="1:17" x14ac:dyDescent="0.35">
      <c r="E32" s="18">
        <v>2021</v>
      </c>
      <c r="F32" s="19">
        <v>158.603195</v>
      </c>
      <c r="G32" s="19">
        <v>69.199996999999996</v>
      </c>
      <c r="H32" s="19">
        <v>107.833641</v>
      </c>
    </row>
    <row r="33" spans="5:8" x14ac:dyDescent="0.35">
      <c r="E33" s="18">
        <v>2022</v>
      </c>
      <c r="F33" s="20">
        <v>161.997299</v>
      </c>
      <c r="G33" s="20">
        <v>69.5</v>
      </c>
      <c r="H33" s="20">
        <v>110.14128100000001</v>
      </c>
    </row>
    <row r="34" spans="5:8" x14ac:dyDescent="0.35">
      <c r="E34" s="18">
        <v>2023</v>
      </c>
      <c r="F34" s="19">
        <v>165.46404999999999</v>
      </c>
      <c r="G34" s="19">
        <v>69.800003000000004</v>
      </c>
      <c r="H34" s="19">
        <v>112.498299</v>
      </c>
    </row>
    <row r="35" spans="5:8" x14ac:dyDescent="0.35">
      <c r="E35" s="18">
        <v>2024</v>
      </c>
      <c r="F35" s="20">
        <v>169.004974</v>
      </c>
      <c r="G35" s="20">
        <v>70.099997999999999</v>
      </c>
      <c r="H35" s="20">
        <v>114.90576900000001</v>
      </c>
    </row>
    <row r="36" spans="5:8" x14ac:dyDescent="0.35">
      <c r="E36" s="18">
        <v>2025</v>
      </c>
      <c r="F36" s="19">
        <v>172.621689</v>
      </c>
      <c r="G36" s="19">
        <v>70.400002000000001</v>
      </c>
      <c r="H36" s="19">
        <v>117.364761</v>
      </c>
    </row>
    <row r="37" spans="5:8" x14ac:dyDescent="0.35">
      <c r="E37" s="18">
        <v>2026</v>
      </c>
      <c r="F37" s="20">
        <v>176.31578099999999</v>
      </c>
      <c r="G37" s="20">
        <v>70.699996999999996</v>
      </c>
      <c r="H37" s="20">
        <v>119.876358</v>
      </c>
    </row>
    <row r="38" spans="5:8" x14ac:dyDescent="0.35">
      <c r="E38" s="18">
        <v>2027</v>
      </c>
      <c r="F38" s="19">
        <v>180.088943</v>
      </c>
      <c r="G38" s="19">
        <v>71</v>
      </c>
      <c r="H38" s="19">
        <v>122.441711</v>
      </c>
    </row>
    <row r="39" spans="5:8" x14ac:dyDescent="0.35">
      <c r="E39" s="18">
        <v>2028</v>
      </c>
      <c r="F39" s="20">
        <v>183.94284099999999</v>
      </c>
      <c r="G39" s="20">
        <v>71.300003000000004</v>
      </c>
      <c r="H39" s="20">
        <v>125.06197400000001</v>
      </c>
    </row>
    <row r="40" spans="5:8" x14ac:dyDescent="0.35">
      <c r="E40" s="18">
        <v>2029</v>
      </c>
      <c r="F40" s="19">
        <v>187.87922699999999</v>
      </c>
      <c r="G40" s="19">
        <v>71.599997999999999</v>
      </c>
      <c r="H40" s="19">
        <v>127.738281</v>
      </c>
    </row>
    <row r="41" spans="5:8" x14ac:dyDescent="0.35">
      <c r="E41" s="18">
        <v>2030</v>
      </c>
      <c r="F41" s="20">
        <v>191.89984100000001</v>
      </c>
      <c r="G41" s="20">
        <v>71.900002000000001</v>
      </c>
      <c r="H41" s="20">
        <v>130.47189299999999</v>
      </c>
    </row>
    <row r="42" spans="5:8" x14ac:dyDescent="0.35">
      <c r="E42" s="18">
        <v>2031</v>
      </c>
      <c r="F42" s="19">
        <v>196.00649999999999</v>
      </c>
      <c r="G42" s="19">
        <v>72.199996999999996</v>
      </c>
      <c r="H42" s="19">
        <v>133.263992</v>
      </c>
    </row>
    <row r="43" spans="5:8" x14ac:dyDescent="0.35">
      <c r="E43" s="18">
        <v>2032</v>
      </c>
      <c r="F43" s="20">
        <v>200.20103499999999</v>
      </c>
      <c r="G43" s="20">
        <v>72.5</v>
      </c>
      <c r="H43" s="20">
        <v>136.11582899999999</v>
      </c>
    </row>
    <row r="44" spans="5:8" x14ac:dyDescent="0.35">
      <c r="E44" s="18">
        <v>2033</v>
      </c>
      <c r="F44" s="19">
        <v>204.48533599999999</v>
      </c>
      <c r="G44" s="19">
        <v>72.800003000000004</v>
      </c>
      <c r="H44" s="19">
        <v>139.028717</v>
      </c>
    </row>
    <row r="45" spans="5:8" x14ac:dyDescent="0.35">
      <c r="E45" s="18">
        <v>2034</v>
      </c>
      <c r="F45" s="20">
        <v>208.86132799999999</v>
      </c>
      <c r="G45" s="20">
        <v>73.099997999999999</v>
      </c>
      <c r="H45" s="20">
        <v>142.184662</v>
      </c>
    </row>
    <row r="46" spans="5:8" x14ac:dyDescent="0.35">
      <c r="E46" s="18">
        <v>2035</v>
      </c>
      <c r="F46" s="19">
        <v>213.33094800000001</v>
      </c>
      <c r="G46" s="19">
        <v>73.400002000000001</v>
      </c>
      <c r="H46" s="19">
        <v>145.412262</v>
      </c>
    </row>
    <row r="47" spans="5:8" x14ac:dyDescent="0.35">
      <c r="E47" s="18">
        <v>2036</v>
      </c>
      <c r="F47" s="20">
        <v>217.89624000000001</v>
      </c>
      <c r="G47" s="20">
        <v>73.699996999999996</v>
      </c>
      <c r="H47" s="20">
        <v>148.71312</v>
      </c>
    </row>
    <row r="48" spans="5:8" x14ac:dyDescent="0.35">
      <c r="E48" s="18">
        <v>2037</v>
      </c>
      <c r="F48" s="19">
        <v>222.55921900000001</v>
      </c>
      <c r="G48" s="19">
        <v>74</v>
      </c>
      <c r="H48" s="19">
        <v>152.088898</v>
      </c>
    </row>
    <row r="49" spans="5:8" x14ac:dyDescent="0.35">
      <c r="E49" s="18">
        <v>2038</v>
      </c>
      <c r="F49" s="20">
        <v>227.321991</v>
      </c>
      <c r="G49" s="20">
        <v>74.300003000000004</v>
      </c>
      <c r="H49" s="20">
        <v>155.54132100000001</v>
      </c>
    </row>
    <row r="50" spans="5:8" x14ac:dyDescent="0.35">
      <c r="E50" s="18">
        <v>2039</v>
      </c>
      <c r="F50" s="19">
        <v>232.18667600000001</v>
      </c>
      <c r="G50" s="19">
        <v>74.599997999999999</v>
      </c>
      <c r="H50" s="19">
        <v>159.072113</v>
      </c>
    </row>
    <row r="51" spans="5:8" x14ac:dyDescent="0.35">
      <c r="E51" s="18">
        <v>2040</v>
      </c>
      <c r="F51" s="20">
        <v>237.155472</v>
      </c>
      <c r="G51" s="20">
        <v>74.900002000000001</v>
      </c>
      <c r="H51" s="20">
        <v>162.683044</v>
      </c>
    </row>
  </sheetData>
  <mergeCells count="1"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C11" workbookViewId="0">
      <selection activeCell="E21" sqref="E21"/>
    </sheetView>
  </sheetViews>
  <sheetFormatPr defaultRowHeight="14.5" x14ac:dyDescent="0.35"/>
  <cols>
    <col min="1" max="1" width="24.6328125" bestFit="1" customWidth="1"/>
    <col min="2" max="2" width="14" bestFit="1" customWidth="1"/>
    <col min="5" max="5" width="15.08984375" bestFit="1" customWidth="1"/>
    <col min="6" max="6" width="12.90625" bestFit="1" customWidth="1"/>
    <col min="7" max="7" width="13.6328125" bestFit="1" customWidth="1"/>
    <col min="8" max="8" width="19.36328125" bestFit="1" customWidth="1"/>
    <col min="9" max="9" width="13.6328125" bestFit="1" customWidth="1"/>
    <col min="10" max="10" width="9.08984375" customWidth="1"/>
    <col min="12" max="12" width="14.453125" bestFit="1" customWidth="1"/>
    <col min="14" max="14" width="21.90625" customWidth="1"/>
    <col min="16" max="16" width="11.6328125" bestFit="1" customWidth="1"/>
  </cols>
  <sheetData>
    <row r="1" spans="1:17" ht="26" x14ac:dyDescent="0.6">
      <c r="A1" s="2" t="s">
        <v>15</v>
      </c>
      <c r="B1" s="2">
        <f ca="1">B2+(B24*B22)</f>
        <v>2672215.9471950522</v>
      </c>
      <c r="D1" s="24" t="s">
        <v>17</v>
      </c>
      <c r="E1" s="24"/>
      <c r="N1" s="2" t="s">
        <v>25</v>
      </c>
    </row>
    <row r="2" spans="1:17" ht="15" thickBot="1" x14ac:dyDescent="0.4">
      <c r="A2" s="1" t="s">
        <v>9</v>
      </c>
      <c r="B2" s="10">
        <f ca="1">SUM(B7,B11,B13,B16,)</f>
        <v>2292736.3640956655</v>
      </c>
      <c r="D2" s="8" t="s">
        <v>20</v>
      </c>
      <c r="E2" s="21" t="s">
        <v>19</v>
      </c>
      <c r="F2" s="21">
        <f ca="1">_xll.PsiUniform(0.15,0.3)</f>
        <v>0.27246682520988275</v>
      </c>
      <c r="K2" s="22" t="s">
        <v>23</v>
      </c>
      <c r="L2" s="7" t="s">
        <v>24</v>
      </c>
      <c r="N2" t="s">
        <v>26</v>
      </c>
      <c r="O2" s="21">
        <f ca="1">_xll.PsiNormal(0.75,0.02)</f>
        <v>0.73829404827497536</v>
      </c>
    </row>
    <row r="3" spans="1:17" s="4" customFormat="1" ht="15.5" thickTop="1" thickBot="1" x14ac:dyDescent="0.4">
      <c r="A3" s="3" t="s">
        <v>6</v>
      </c>
      <c r="B3" s="11">
        <f ca="1">INT(_xll.PsiUniform(10,30))</f>
        <v>21</v>
      </c>
      <c r="D3" s="5">
        <v>1</v>
      </c>
      <c r="E3" t="s">
        <v>18</v>
      </c>
      <c r="F3" s="21">
        <f ca="1">B22*_xll.PsiNormal(400,120)</f>
        <v>521.81693428354811</v>
      </c>
      <c r="G3" t="s">
        <v>21</v>
      </c>
      <c r="H3" s="4">
        <f ca="1">F3*(1-$F$2)</f>
        <v>379.63913085855575</v>
      </c>
      <c r="I3" s="6" t="s">
        <v>22</v>
      </c>
      <c r="J3" s="6">
        <f ca="1">365*(AVERAGE(F3,H3))</f>
        <v>164515.73188843395</v>
      </c>
      <c r="K3" s="23">
        <f ca="1">_xll.PsiTriangular(G25,H25,F25)</f>
        <v>115.05834119727696</v>
      </c>
      <c r="L3" s="9">
        <f ca="1">J3*K3</f>
        <v>18928907.211939171</v>
      </c>
      <c r="N3" t="s">
        <v>27</v>
      </c>
      <c r="O3">
        <v>0.06</v>
      </c>
    </row>
    <row r="4" spans="1:17" s="4" customFormat="1" ht="15.5" thickTop="1" thickBot="1" x14ac:dyDescent="0.4">
      <c r="A4" s="3" t="s">
        <v>0</v>
      </c>
      <c r="B4" s="11">
        <f ca="1">_xll.PsiNormal(12000, 1000)</f>
        <v>10927.929239317291</v>
      </c>
      <c r="D4" s="5">
        <v>2</v>
      </c>
      <c r="E4" s="4" t="s">
        <v>18</v>
      </c>
      <c r="F4" s="4">
        <f ca="1">H3</f>
        <v>379.63913085855575</v>
      </c>
      <c r="G4" t="s">
        <v>21</v>
      </c>
      <c r="H4" s="4">
        <f ca="1">F4*(1-$F$2)</f>
        <v>276.20006214808581</v>
      </c>
      <c r="I4" s="6" t="s">
        <v>22</v>
      </c>
      <c r="J4" s="6">
        <f t="shared" ref="J4:J17" ca="1" si="0">365*(AVERAGE(F4,H4))</f>
        <v>119690.65272371209</v>
      </c>
      <c r="K4" s="23">
        <f ca="1">_xll.PsiTriangular(G26,H26,F26)</f>
        <v>99.639044227304254</v>
      </c>
      <c r="L4" s="9">
        <f t="shared" ref="L4:L17" ca="1" si="1">J4*K4</f>
        <v>11925862.240332862</v>
      </c>
      <c r="N4" t="s">
        <v>28</v>
      </c>
      <c r="O4" s="21">
        <f ca="1">_xll.PsiNormal(6.8,1)</f>
        <v>6.3398218442928913</v>
      </c>
    </row>
    <row r="5" spans="1:17" s="4" customFormat="1" ht="15.5" thickTop="1" thickBot="1" x14ac:dyDescent="0.4">
      <c r="A5" s="3" t="s">
        <v>1</v>
      </c>
      <c r="B5" s="3">
        <v>960</v>
      </c>
      <c r="D5" s="5">
        <v>3</v>
      </c>
      <c r="E5" t="s">
        <v>18</v>
      </c>
      <c r="F5" s="4">
        <f ca="1">H4</f>
        <v>276.20006214808581</v>
      </c>
      <c r="G5" t="s">
        <v>21</v>
      </c>
      <c r="H5" s="4">
        <f ca="1">F5*(1-$F$2)</f>
        <v>200.94470809182457</v>
      </c>
      <c r="I5" s="6" t="s">
        <v>22</v>
      </c>
      <c r="J5" s="6">
        <f t="shared" ca="1" si="0"/>
        <v>87078.920568783637</v>
      </c>
      <c r="K5" s="23">
        <f ca="1">_xll.PsiTriangular(G27,H27,F27)</f>
        <v>128.93400060528359</v>
      </c>
      <c r="L5" s="9">
        <f t="shared" ca="1" si="1"/>
        <v>11227433.597322991</v>
      </c>
    </row>
    <row r="6" spans="1:17" s="4" customFormat="1" ht="15.5" thickTop="1" thickBot="1" x14ac:dyDescent="0.4">
      <c r="A6" s="3" t="s">
        <v>2</v>
      </c>
      <c r="B6" s="11">
        <f ca="1">B4*B5</f>
        <v>10490812.0697446</v>
      </c>
      <c r="D6" s="5">
        <v>4</v>
      </c>
      <c r="E6" s="4" t="s">
        <v>18</v>
      </c>
      <c r="F6" s="4">
        <f t="shared" ref="F6:F17" ca="1" si="2">H5</f>
        <v>200.94470809182457</v>
      </c>
      <c r="G6" t="s">
        <v>21</v>
      </c>
      <c r="H6" s="4">
        <f t="shared" ref="H6:H17" ca="1" si="3">F6*(1-$F$2)</f>
        <v>146.19394143531849</v>
      </c>
      <c r="I6" s="6" t="s">
        <v>22</v>
      </c>
      <c r="J6" s="6">
        <f t="shared" ca="1" si="0"/>
        <v>63352.803538703607</v>
      </c>
      <c r="K6" s="23">
        <f ca="1">_xll.PsiTriangular(G28,H28,F28)</f>
        <v>99.82304327127855</v>
      </c>
      <c r="L6" s="9">
        <f t="shared" ca="1" si="1"/>
        <v>6324069.6490008188</v>
      </c>
    </row>
    <row r="7" spans="1:17" ht="27" thickTop="1" thickBot="1" x14ac:dyDescent="0.65">
      <c r="A7" s="1" t="s">
        <v>7</v>
      </c>
      <c r="B7" s="10">
        <f ca="1">B6/B3</f>
        <v>499562.4795116476</v>
      </c>
      <c r="D7" s="5">
        <v>5</v>
      </c>
      <c r="E7" t="s">
        <v>18</v>
      </c>
      <c r="F7" s="4">
        <f t="shared" ca="1" si="2"/>
        <v>146.19394143531849</v>
      </c>
      <c r="G7" t="s">
        <v>21</v>
      </c>
      <c r="H7" s="4">
        <f t="shared" ca="1" si="3"/>
        <v>106.36094234751774</v>
      </c>
      <c r="I7" s="6" t="s">
        <v>22</v>
      </c>
      <c r="J7" s="6">
        <f t="shared" ca="1" si="0"/>
        <v>46091.26629036761</v>
      </c>
      <c r="K7" s="23">
        <f ca="1">_xll.PsiTriangular(G29,H29,F29)</f>
        <v>114.33545310689382</v>
      </c>
      <c r="L7" s="9">
        <f t="shared" ca="1" si="1"/>
        <v>5269865.8155796817</v>
      </c>
      <c r="N7" s="2" t="s">
        <v>29</v>
      </c>
      <c r="P7" t="s">
        <v>32</v>
      </c>
      <c r="Q7" t="s">
        <v>31</v>
      </c>
    </row>
    <row r="8" spans="1:17" s="4" customFormat="1" ht="15.5" thickTop="1" thickBot="1" x14ac:dyDescent="0.4">
      <c r="A8" s="3" t="s">
        <v>3</v>
      </c>
      <c r="B8" s="11">
        <f ca="1">INT(_xll.PsiNormal(50,7))</f>
        <v>41</v>
      </c>
      <c r="D8" s="5">
        <v>6</v>
      </c>
      <c r="E8" s="4" t="s">
        <v>18</v>
      </c>
      <c r="F8" s="4">
        <f t="shared" ca="1" si="2"/>
        <v>106.36094234751774</v>
      </c>
      <c r="G8" t="s">
        <v>21</v>
      </c>
      <c r="H8" s="4">
        <f t="shared" ca="1" si="3"/>
        <v>77.381114059758204</v>
      </c>
      <c r="I8" s="6" t="s">
        <v>22</v>
      </c>
      <c r="J8" s="6">
        <f t="shared" ca="1" si="0"/>
        <v>33532.925294327855</v>
      </c>
      <c r="K8" s="23">
        <f ca="1">_xll.PsiTriangular(G30,H30,F30)</f>
        <v>149.27546116817572</v>
      </c>
      <c r="L8" s="9">
        <f t="shared" ca="1" si="1"/>
        <v>5005642.8876287751</v>
      </c>
      <c r="N8" s="5">
        <v>1</v>
      </c>
      <c r="O8" s="5">
        <f ca="1">((L3*$O$2)*(1-$O$3))-($O$4*J3)</f>
        <v>12093593.132072385</v>
      </c>
      <c r="P8" s="4">
        <v>0.1</v>
      </c>
      <c r="Q8" s="4">
        <f ca="1">O8/((1+P8)^N8)</f>
        <v>10994175.574611258</v>
      </c>
    </row>
    <row r="9" spans="1:17" s="4" customFormat="1" ht="15.5" thickTop="1" thickBot="1" x14ac:dyDescent="0.4">
      <c r="A9" s="3" t="s">
        <v>4</v>
      </c>
      <c r="B9" s="3">
        <v>43000</v>
      </c>
      <c r="D9" s="5">
        <v>7</v>
      </c>
      <c r="E9" t="s">
        <v>18</v>
      </c>
      <c r="F9" s="4">
        <f t="shared" ca="1" si="2"/>
        <v>77.381114059758204</v>
      </c>
      <c r="G9" t="s">
        <v>21</v>
      </c>
      <c r="H9" s="4">
        <f t="shared" ca="1" si="3"/>
        <v>56.297327580692063</v>
      </c>
      <c r="I9" s="6" t="s">
        <v>22</v>
      </c>
      <c r="J9" s="6">
        <f t="shared" ca="1" si="0"/>
        <v>24396.315599382175</v>
      </c>
      <c r="K9" s="23">
        <f ca="1">_xll.PsiTriangular(G31,H31,F31)</f>
        <v>126.61900841102903</v>
      </c>
      <c r="L9" s="9">
        <f t="shared" ca="1" si="1"/>
        <v>3089037.2900762903</v>
      </c>
      <c r="N9" s="5">
        <v>2</v>
      </c>
      <c r="O9" s="5">
        <f t="shared" ref="O9:O22" ca="1" si="4">((L4*$O$2)*(1-$O$3))-($O$4*J4)</f>
        <v>7517688.11113445</v>
      </c>
      <c r="P9" s="4">
        <v>0.1</v>
      </c>
      <c r="Q9" s="4">
        <f t="shared" ref="Q9:Q22" ca="1" si="5">O9/((1+P9)^N9)</f>
        <v>6212965.3811028507</v>
      </c>
    </row>
    <row r="10" spans="1:17" s="4" customFormat="1" ht="15.5" thickTop="1" thickBot="1" x14ac:dyDescent="0.4">
      <c r="A10" s="3" t="s">
        <v>5</v>
      </c>
      <c r="B10" s="3">
        <f ca="1">PRODUCT(B8:B9)</f>
        <v>1763000</v>
      </c>
      <c r="D10" s="5">
        <v>8</v>
      </c>
      <c r="E10" s="4" t="s">
        <v>18</v>
      </c>
      <c r="F10" s="4">
        <f t="shared" ca="1" si="2"/>
        <v>56.297327580692063</v>
      </c>
      <c r="G10" t="s">
        <v>21</v>
      </c>
      <c r="H10" s="4">
        <f t="shared" ca="1" si="3"/>
        <v>40.958173466980128</v>
      </c>
      <c r="I10" s="6" t="s">
        <v>22</v>
      </c>
      <c r="J10" s="6">
        <f t="shared" ca="1" si="0"/>
        <v>17749.128941200175</v>
      </c>
      <c r="K10" s="23">
        <f ca="1">_xll.PsiTriangular(G32,H32,F32)</f>
        <v>134.52968562039948</v>
      </c>
      <c r="L10" s="9">
        <f t="shared" ca="1" si="1"/>
        <v>2387784.7364955936</v>
      </c>
      <c r="N10" s="5">
        <v>3</v>
      </c>
      <c r="O10" s="5">
        <f t="shared" ca="1" si="4"/>
        <v>7239733.7153682755</v>
      </c>
      <c r="P10" s="4">
        <v>0.1</v>
      </c>
      <c r="Q10" s="4">
        <f t="shared" ca="1" si="5"/>
        <v>5439319.0949423537</v>
      </c>
    </row>
    <row r="11" spans="1:17" ht="15.5" thickTop="1" thickBot="1" x14ac:dyDescent="0.4">
      <c r="A11" s="1" t="s">
        <v>8</v>
      </c>
      <c r="B11" s="10">
        <f ca="1">B10/B3</f>
        <v>83952.380952380947</v>
      </c>
      <c r="D11" s="5">
        <v>9</v>
      </c>
      <c r="E11" t="s">
        <v>18</v>
      </c>
      <c r="F11" s="4">
        <f t="shared" ca="1" si="2"/>
        <v>40.958173466980128</v>
      </c>
      <c r="G11" t="s">
        <v>21</v>
      </c>
      <c r="H11" s="4">
        <f t="shared" ca="1" si="3"/>
        <v>29.798429976036395</v>
      </c>
      <c r="I11" s="6" t="s">
        <v>22</v>
      </c>
      <c r="J11" s="6">
        <f t="shared" ca="1" si="0"/>
        <v>12913.080128350517</v>
      </c>
      <c r="K11" s="23">
        <f ca="1">_xll.PsiTriangular(G33,H33,F33)</f>
        <v>111.90434394227717</v>
      </c>
      <c r="L11" s="9">
        <f t="shared" ca="1" si="1"/>
        <v>1445029.7600371209</v>
      </c>
      <c r="N11" s="5">
        <v>4</v>
      </c>
      <c r="O11" s="5">
        <f t="shared" ca="1" si="4"/>
        <v>3987236.1159978244</v>
      </c>
      <c r="P11" s="4">
        <v>0.1</v>
      </c>
      <c r="Q11" s="4">
        <f t="shared" ca="1" si="5"/>
        <v>2723335.9169440772</v>
      </c>
    </row>
    <row r="12" spans="1:17" s="4" customFormat="1" ht="15.5" thickTop="1" thickBot="1" x14ac:dyDescent="0.4">
      <c r="A12" s="3" t="s">
        <v>11</v>
      </c>
      <c r="B12" s="4">
        <f ca="1">_xll.PsiNormal(7.24, 0.589)</f>
        <v>7.2810431414966219</v>
      </c>
      <c r="D12" s="5">
        <v>10</v>
      </c>
      <c r="E12" s="4" t="s">
        <v>18</v>
      </c>
      <c r="F12" s="4">
        <f t="shared" ca="1" si="2"/>
        <v>29.798429976036395</v>
      </c>
      <c r="G12" t="s">
        <v>21</v>
      </c>
      <c r="H12" s="4">
        <f t="shared" ca="1" si="3"/>
        <v>21.679346364226756</v>
      </c>
      <c r="I12" s="6" t="s">
        <v>22</v>
      </c>
      <c r="J12" s="6">
        <f t="shared" ca="1" si="0"/>
        <v>9394.6941820980246</v>
      </c>
      <c r="K12" s="23">
        <f ca="1">_xll.PsiTriangular(G34,H34,F34)</f>
        <v>110.08874490711091</v>
      </c>
      <c r="L12" s="9">
        <f t="shared" ca="1" si="1"/>
        <v>1034250.0912933084</v>
      </c>
      <c r="N12" s="5">
        <v>5</v>
      </c>
      <c r="O12" s="5">
        <f t="shared" ca="1" si="4"/>
        <v>3365057.5159804206</v>
      </c>
      <c r="P12" s="4">
        <v>0.1</v>
      </c>
      <c r="Q12" s="4">
        <f t="shared" ca="1" si="5"/>
        <v>2089435.9649927162</v>
      </c>
    </row>
    <row r="13" spans="1:17" ht="15.5" thickTop="1" thickBot="1" x14ac:dyDescent="0.4">
      <c r="A13" s="1" t="s">
        <v>10</v>
      </c>
      <c r="B13" s="10">
        <f ca="1">EXP(B12)*1000</f>
        <v>1452502.4006512158</v>
      </c>
      <c r="D13" s="5">
        <v>11</v>
      </c>
      <c r="E13" t="s">
        <v>18</v>
      </c>
      <c r="F13" s="4">
        <f t="shared" ca="1" si="2"/>
        <v>21.679346364226756</v>
      </c>
      <c r="G13" t="s">
        <v>21</v>
      </c>
      <c r="H13" s="4">
        <f t="shared" ca="1" si="3"/>
        <v>15.772443687740477</v>
      </c>
      <c r="I13" s="6" t="s">
        <v>22</v>
      </c>
      <c r="J13" s="6">
        <f t="shared" ca="1" si="0"/>
        <v>6834.9516844840209</v>
      </c>
      <c r="K13" s="23">
        <f ca="1">_xll.PsiTriangular(G35,H35,F35)</f>
        <v>145.24274620438391</v>
      </c>
      <c r="L13" s="9">
        <f t="shared" ca="1" si="1"/>
        <v>992727.15282873891</v>
      </c>
      <c r="N13" s="5">
        <v>6</v>
      </c>
      <c r="O13" s="5">
        <f t="shared" ca="1" si="4"/>
        <v>3261305.3983386876</v>
      </c>
      <c r="P13" s="4">
        <v>0.1</v>
      </c>
      <c r="Q13" s="4">
        <f t="shared" ca="1" si="5"/>
        <v>1840921.8753058382</v>
      </c>
    </row>
    <row r="14" spans="1:17" s="3" customFormat="1" ht="15.5" thickTop="1" thickBot="1" x14ac:dyDescent="0.4">
      <c r="A14" s="3" t="s">
        <v>12</v>
      </c>
      <c r="B14" s="3">
        <v>420000</v>
      </c>
      <c r="D14" s="5">
        <v>12</v>
      </c>
      <c r="E14" s="4" t="s">
        <v>18</v>
      </c>
      <c r="F14" s="4">
        <f t="shared" ca="1" si="2"/>
        <v>15.772443687740477</v>
      </c>
      <c r="G14" t="s">
        <v>21</v>
      </c>
      <c r="H14" s="4">
        <f t="shared" ca="1" si="3"/>
        <v>11.474976030340175</v>
      </c>
      <c r="I14" s="6" t="s">
        <v>22</v>
      </c>
      <c r="J14" s="6">
        <f t="shared" ca="1" si="0"/>
        <v>4972.6540985497186</v>
      </c>
      <c r="K14" s="23">
        <f ca="1">_xll.PsiTriangular(G36,H36,F36)</f>
        <v>138.34127238388004</v>
      </c>
      <c r="L14" s="9">
        <f t="shared" ca="1" si="1"/>
        <v>687923.29511828406</v>
      </c>
      <c r="N14" s="5">
        <v>7</v>
      </c>
      <c r="O14" s="5">
        <f t="shared" ca="1" si="4"/>
        <v>1989112.48083579</v>
      </c>
      <c r="P14" s="4">
        <v>0.1</v>
      </c>
      <c r="Q14" s="4">
        <f t="shared" ca="1" si="5"/>
        <v>1020729.2176149061</v>
      </c>
    </row>
    <row r="15" spans="1:17" s="3" customFormat="1" ht="15.5" thickTop="1" thickBot="1" x14ac:dyDescent="0.4">
      <c r="A15" s="3" t="s">
        <v>13</v>
      </c>
      <c r="B15" s="3">
        <f ca="1">_xll.PsiTriangular(0.4,0.5,0.65)</f>
        <v>0.61123595947719322</v>
      </c>
      <c r="D15" s="5">
        <v>13</v>
      </c>
      <c r="E15" t="s">
        <v>18</v>
      </c>
      <c r="F15" s="4">
        <f t="shared" ca="1" si="2"/>
        <v>11.474976030340175</v>
      </c>
      <c r="G15" t="s">
        <v>21</v>
      </c>
      <c r="H15" s="4">
        <f t="shared" ca="1" si="3"/>
        <v>8.3484257419938839</v>
      </c>
      <c r="I15" s="6" t="s">
        <v>22</v>
      </c>
      <c r="J15" s="6">
        <f t="shared" ca="1" si="0"/>
        <v>3617.7708234509655</v>
      </c>
      <c r="K15" s="23">
        <f ca="1">_xll.PsiTriangular(G37,H37,F37)</f>
        <v>131.23319716962067</v>
      </c>
      <c r="L15" s="9">
        <f t="shared" ca="1" si="1"/>
        <v>474771.63178844145</v>
      </c>
      <c r="N15" s="5">
        <v>8</v>
      </c>
      <c r="O15" s="5">
        <f t="shared" ca="1" si="4"/>
        <v>1544587.7085669434</v>
      </c>
      <c r="P15" s="4">
        <v>0.1</v>
      </c>
      <c r="Q15" s="4">
        <f t="shared" ca="1" si="5"/>
        <v>720561.56542771962</v>
      </c>
    </row>
    <row r="16" spans="1:17" s="1" customFormat="1" ht="15.5" thickTop="1" thickBot="1" x14ac:dyDescent="0.4">
      <c r="A16" s="1" t="s">
        <v>14</v>
      </c>
      <c r="B16" s="10">
        <f ca="1">B14*B15</f>
        <v>256719.10298042116</v>
      </c>
      <c r="D16" s="5">
        <v>14</v>
      </c>
      <c r="E16" s="4" t="s">
        <v>18</v>
      </c>
      <c r="F16" s="4">
        <f t="shared" ca="1" si="2"/>
        <v>8.3484257419938839</v>
      </c>
      <c r="G16" t="s">
        <v>21</v>
      </c>
      <c r="H16" s="4">
        <f t="shared" ca="1" si="3"/>
        <v>6.0737566845723503</v>
      </c>
      <c r="I16" s="6" t="s">
        <v>22</v>
      </c>
      <c r="J16" s="6">
        <f t="shared" ca="1" si="0"/>
        <v>2632.048292848338</v>
      </c>
      <c r="K16" s="23">
        <f ca="1">_xll.PsiTriangular(G38,H38,F38)</f>
        <v>75.377660658853131</v>
      </c>
      <c r="L16" s="9">
        <f t="shared" ca="1" si="1"/>
        <v>198397.64305603571</v>
      </c>
      <c r="N16" s="5">
        <v>9</v>
      </c>
      <c r="O16" s="5">
        <f t="shared" ca="1" si="4"/>
        <v>920978.83165586391</v>
      </c>
      <c r="P16" s="4">
        <v>0.1</v>
      </c>
      <c r="Q16" s="4">
        <f t="shared" ca="1" si="5"/>
        <v>390584.92907672538</v>
      </c>
    </row>
    <row r="17" spans="1:17" s="1" customFormat="1" ht="15" thickTop="1" x14ac:dyDescent="0.35">
      <c r="D17" s="5">
        <v>15</v>
      </c>
      <c r="E17" t="s">
        <v>18</v>
      </c>
      <c r="F17" s="4">
        <f t="shared" ca="1" si="2"/>
        <v>6.0737566845723503</v>
      </c>
      <c r="G17" t="s">
        <v>21</v>
      </c>
      <c r="H17" s="4">
        <f t="shared" ca="1" si="3"/>
        <v>4.4188594836296184</v>
      </c>
      <c r="I17" s="6" t="s">
        <v>22</v>
      </c>
      <c r="J17" s="6">
        <f t="shared" ca="1" si="0"/>
        <v>1914.9024506968594</v>
      </c>
      <c r="K17" s="23">
        <f ca="1">_xll.PsiTriangular(G39,H39,F39)</f>
        <v>144.07896915626412</v>
      </c>
      <c r="L17" s="9">
        <f t="shared" ca="1" si="1"/>
        <v>275897.17113120737</v>
      </c>
      <c r="N17" s="5">
        <v>10</v>
      </c>
      <c r="O17" s="5">
        <f t="shared" ca="1" si="4"/>
        <v>658205.15822380106</v>
      </c>
      <c r="P17" s="4">
        <v>0.1</v>
      </c>
      <c r="Q17" s="4">
        <f t="shared" ca="1" si="5"/>
        <v>253766.58182108949</v>
      </c>
    </row>
    <row r="18" spans="1:17" s="1" customFormat="1" x14ac:dyDescent="0.35">
      <c r="A18" s="12"/>
      <c r="B18" s="12"/>
      <c r="C18" s="12"/>
      <c r="N18" s="5">
        <v>11</v>
      </c>
      <c r="O18" s="5">
        <f t="shared" ca="1" si="4"/>
        <v>645616.69959077635</v>
      </c>
      <c r="P18" s="4">
        <v>0.1</v>
      </c>
      <c r="Q18" s="4">
        <f t="shared" ca="1" si="5"/>
        <v>226284.71460987776</v>
      </c>
    </row>
    <row r="19" spans="1:17" x14ac:dyDescent="0.35">
      <c r="A19" s="12"/>
      <c r="B19" s="12"/>
      <c r="N19" s="5">
        <v>12</v>
      </c>
      <c r="O19" s="5">
        <f t="shared" ca="1" si="4"/>
        <v>445890.55291010812</v>
      </c>
      <c r="P19" s="4">
        <v>0.1</v>
      </c>
      <c r="Q19" s="4">
        <f t="shared" ca="1" si="5"/>
        <v>142074.47148307075</v>
      </c>
    </row>
    <row r="20" spans="1:17" ht="26" x14ac:dyDescent="0.6">
      <c r="A20" s="12"/>
      <c r="B20" s="12"/>
      <c r="E20" s="2" t="s">
        <v>30</v>
      </c>
      <c r="N20" s="5">
        <v>13</v>
      </c>
      <c r="O20" s="5">
        <f t="shared" ca="1" si="4"/>
        <v>306553.78334269224</v>
      </c>
      <c r="P20" s="4">
        <v>0.1</v>
      </c>
      <c r="Q20" s="4">
        <f t="shared" ca="1" si="5"/>
        <v>88797.711507895918</v>
      </c>
    </row>
    <row r="21" spans="1:17" x14ac:dyDescent="0.35">
      <c r="A21" s="12"/>
      <c r="B21" s="12"/>
      <c r="E21" s="10">
        <f ca="1">(-B1)+SUM(Q8:Q22) + _xll.PsiOutput()</f>
        <v>29545530.811007295</v>
      </c>
      <c r="N21" s="5">
        <v>14</v>
      </c>
      <c r="O21" s="5">
        <f t="shared" ca="1" si="4"/>
        <v>121000.5338542172</v>
      </c>
      <c r="P21" s="4">
        <v>0.1</v>
      </c>
      <c r="Q21" s="4">
        <f t="shared" ca="1" si="5"/>
        <v>31863.222351536278</v>
      </c>
    </row>
    <row r="22" spans="1:17" x14ac:dyDescent="0.35">
      <c r="A22" s="1" t="s">
        <v>36</v>
      </c>
      <c r="B22" s="10">
        <v>1</v>
      </c>
      <c r="N22" s="5">
        <v>15</v>
      </c>
      <c r="O22" s="5">
        <f t="shared" ca="1" si="4"/>
        <v>179331.50463253044</v>
      </c>
      <c r="P22" s="4">
        <v>0.1</v>
      </c>
      <c r="Q22" s="4">
        <f t="shared" ca="1" si="5"/>
        <v>42930.536410437082</v>
      </c>
    </row>
    <row r="23" spans="1:17" ht="18" customHeight="1" x14ac:dyDescent="0.35">
      <c r="A23" s="1"/>
      <c r="B23" s="1"/>
      <c r="N23" s="5"/>
      <c r="O23" s="5"/>
      <c r="P23" s="4"/>
      <c r="Q23" s="4"/>
    </row>
    <row r="24" spans="1:17" ht="22" customHeight="1" thickBot="1" x14ac:dyDescent="0.4">
      <c r="A24" s="1" t="s">
        <v>16</v>
      </c>
      <c r="B24" s="10">
        <f ca="1">B22*_xll.PsiNormal(378000,40000)</f>
        <v>379479.5830993866</v>
      </c>
      <c r="E24" s="13" t="s">
        <v>20</v>
      </c>
      <c r="F24" s="14" t="s">
        <v>37</v>
      </c>
      <c r="G24" s="14" t="s">
        <v>38</v>
      </c>
      <c r="H24" s="15" t="s">
        <v>39</v>
      </c>
    </row>
    <row r="25" spans="1:17" ht="15" thickTop="1" x14ac:dyDescent="0.35">
      <c r="E25" s="16">
        <v>2014</v>
      </c>
      <c r="F25" s="17">
        <v>122.699997</v>
      </c>
      <c r="G25" s="17">
        <v>84.699996999999996</v>
      </c>
      <c r="H25" s="17">
        <v>97.000731999999999</v>
      </c>
    </row>
    <row r="26" spans="1:17" x14ac:dyDescent="0.35">
      <c r="E26" s="18">
        <v>2015</v>
      </c>
      <c r="F26" s="19">
        <v>133.699997</v>
      </c>
      <c r="G26" s="19">
        <v>78.699996999999996</v>
      </c>
      <c r="H26" s="19">
        <v>95.908195000000006</v>
      </c>
    </row>
    <row r="27" spans="1:17" x14ac:dyDescent="0.35">
      <c r="E27" s="18">
        <v>2016</v>
      </c>
      <c r="F27" s="20">
        <v>142.66999799999999</v>
      </c>
      <c r="G27" s="20">
        <v>73.669998000000007</v>
      </c>
      <c r="H27" s="20">
        <v>97.000731999999999</v>
      </c>
    </row>
    <row r="28" spans="1:17" x14ac:dyDescent="0.35">
      <c r="E28" s="18">
        <v>2017</v>
      </c>
      <c r="F28" s="19">
        <v>145.72314499999999</v>
      </c>
      <c r="G28" s="19">
        <v>69</v>
      </c>
      <c r="H28" s="19">
        <v>99.076545999999993</v>
      </c>
    </row>
    <row r="29" spans="1:17" x14ac:dyDescent="0.35">
      <c r="E29" s="18">
        <v>2018</v>
      </c>
      <c r="F29" s="20">
        <v>148.84161399999999</v>
      </c>
      <c r="G29" s="20">
        <v>68.800003000000004</v>
      </c>
      <c r="H29" s="20">
        <v>101.19678500000001</v>
      </c>
    </row>
    <row r="30" spans="1:17" x14ac:dyDescent="0.35">
      <c r="E30" s="18">
        <v>2019</v>
      </c>
      <c r="F30" s="19">
        <v>152.026825</v>
      </c>
      <c r="G30" s="19">
        <v>68.699996999999996</v>
      </c>
      <c r="H30" s="19">
        <v>103.362396</v>
      </c>
    </row>
    <row r="31" spans="1:17" x14ac:dyDescent="0.35">
      <c r="E31" s="18">
        <v>2020</v>
      </c>
      <c r="F31" s="20">
        <v>155.28019699999999</v>
      </c>
      <c r="G31" s="20">
        <v>68.900002000000001</v>
      </c>
      <c r="H31" s="20">
        <v>105.574348</v>
      </c>
    </row>
    <row r="32" spans="1:17" x14ac:dyDescent="0.35">
      <c r="E32" s="18">
        <v>2021</v>
      </c>
      <c r="F32" s="19">
        <v>158.603195</v>
      </c>
      <c r="G32" s="19">
        <v>69.199996999999996</v>
      </c>
      <c r="H32" s="19">
        <v>107.833641</v>
      </c>
    </row>
    <row r="33" spans="5:8" x14ac:dyDescent="0.35">
      <c r="E33" s="18">
        <v>2022</v>
      </c>
      <c r="F33" s="20">
        <v>161.997299</v>
      </c>
      <c r="G33" s="20">
        <v>69.5</v>
      </c>
      <c r="H33" s="20">
        <v>110.14128100000001</v>
      </c>
    </row>
    <row r="34" spans="5:8" x14ac:dyDescent="0.35">
      <c r="E34" s="18">
        <v>2023</v>
      </c>
      <c r="F34" s="19">
        <v>165.46404999999999</v>
      </c>
      <c r="G34" s="19">
        <v>69.800003000000004</v>
      </c>
      <c r="H34" s="19">
        <v>112.498299</v>
      </c>
    </row>
    <row r="35" spans="5:8" x14ac:dyDescent="0.35">
      <c r="E35" s="18">
        <v>2024</v>
      </c>
      <c r="F35" s="20">
        <v>169.004974</v>
      </c>
      <c r="G35" s="20">
        <v>70.099997999999999</v>
      </c>
      <c r="H35" s="20">
        <v>114.90576900000001</v>
      </c>
    </row>
    <row r="36" spans="5:8" x14ac:dyDescent="0.35">
      <c r="E36" s="18">
        <v>2025</v>
      </c>
      <c r="F36" s="19">
        <v>172.621689</v>
      </c>
      <c r="G36" s="19">
        <v>70.400002000000001</v>
      </c>
      <c r="H36" s="19">
        <v>117.364761</v>
      </c>
    </row>
    <row r="37" spans="5:8" x14ac:dyDescent="0.35">
      <c r="E37" s="18">
        <v>2026</v>
      </c>
      <c r="F37" s="20">
        <v>176.31578099999999</v>
      </c>
      <c r="G37" s="20">
        <v>70.699996999999996</v>
      </c>
      <c r="H37" s="20">
        <v>119.876358</v>
      </c>
    </row>
    <row r="38" spans="5:8" x14ac:dyDescent="0.35">
      <c r="E38" s="18">
        <v>2027</v>
      </c>
      <c r="F38" s="19">
        <v>180.088943</v>
      </c>
      <c r="G38" s="19">
        <v>71</v>
      </c>
      <c r="H38" s="19">
        <v>122.441711</v>
      </c>
    </row>
    <row r="39" spans="5:8" x14ac:dyDescent="0.35">
      <c r="E39" s="18">
        <v>2028</v>
      </c>
      <c r="F39" s="20">
        <v>183.94284099999999</v>
      </c>
      <c r="G39" s="20">
        <v>71.300003000000004</v>
      </c>
      <c r="H39" s="20">
        <v>125.06197400000001</v>
      </c>
    </row>
    <row r="40" spans="5:8" x14ac:dyDescent="0.35">
      <c r="E40" s="18">
        <v>2029</v>
      </c>
      <c r="F40" s="19">
        <v>187.87922699999999</v>
      </c>
      <c r="G40" s="19">
        <v>71.599997999999999</v>
      </c>
      <c r="H40" s="19">
        <v>127.738281</v>
      </c>
    </row>
    <row r="41" spans="5:8" x14ac:dyDescent="0.35">
      <c r="E41" s="18">
        <v>2030</v>
      </c>
      <c r="F41" s="20">
        <v>191.89984100000001</v>
      </c>
      <c r="G41" s="20">
        <v>71.900002000000001</v>
      </c>
      <c r="H41" s="20">
        <v>130.47189299999999</v>
      </c>
    </row>
    <row r="42" spans="5:8" x14ac:dyDescent="0.35">
      <c r="E42" s="18">
        <v>2031</v>
      </c>
      <c r="F42" s="19">
        <v>196.00649999999999</v>
      </c>
      <c r="G42" s="19">
        <v>72.199996999999996</v>
      </c>
      <c r="H42" s="19">
        <v>133.263992</v>
      </c>
    </row>
    <row r="43" spans="5:8" x14ac:dyDescent="0.35">
      <c r="E43" s="18">
        <v>2032</v>
      </c>
      <c r="F43" s="20">
        <v>200.20103499999999</v>
      </c>
      <c r="G43" s="20">
        <v>72.5</v>
      </c>
      <c r="H43" s="20">
        <v>136.11582899999999</v>
      </c>
    </row>
    <row r="44" spans="5:8" x14ac:dyDescent="0.35">
      <c r="E44" s="18">
        <v>2033</v>
      </c>
      <c r="F44" s="19">
        <v>204.48533599999999</v>
      </c>
      <c r="G44" s="19">
        <v>72.800003000000004</v>
      </c>
      <c r="H44" s="19">
        <v>139.028717</v>
      </c>
    </row>
    <row r="45" spans="5:8" x14ac:dyDescent="0.35">
      <c r="E45" s="18">
        <v>2034</v>
      </c>
      <c r="F45" s="20">
        <v>208.86132799999999</v>
      </c>
      <c r="G45" s="20">
        <v>73.099997999999999</v>
      </c>
      <c r="H45" s="20">
        <v>142.184662</v>
      </c>
    </row>
    <row r="46" spans="5:8" x14ac:dyDescent="0.35">
      <c r="E46" s="18">
        <v>2035</v>
      </c>
      <c r="F46" s="19">
        <v>213.33094800000001</v>
      </c>
      <c r="G46" s="19">
        <v>73.400002000000001</v>
      </c>
      <c r="H46" s="19">
        <v>145.412262</v>
      </c>
    </row>
    <row r="47" spans="5:8" x14ac:dyDescent="0.35">
      <c r="E47" s="18">
        <v>2036</v>
      </c>
      <c r="F47" s="20">
        <v>217.89624000000001</v>
      </c>
      <c r="G47" s="20">
        <v>73.699996999999996</v>
      </c>
      <c r="H47" s="20">
        <v>148.71312</v>
      </c>
    </row>
    <row r="48" spans="5:8" x14ac:dyDescent="0.35">
      <c r="E48" s="18">
        <v>2037</v>
      </c>
      <c r="F48" s="19">
        <v>222.55921900000001</v>
      </c>
      <c r="G48" s="19">
        <v>74</v>
      </c>
      <c r="H48" s="19">
        <v>152.088898</v>
      </c>
    </row>
    <row r="49" spans="5:8" x14ac:dyDescent="0.35">
      <c r="E49" s="18">
        <v>2038</v>
      </c>
      <c r="F49" s="20">
        <v>227.321991</v>
      </c>
      <c r="G49" s="20">
        <v>74.300003000000004</v>
      </c>
      <c r="H49" s="20">
        <v>155.54132100000001</v>
      </c>
    </row>
    <row r="50" spans="5:8" x14ac:dyDescent="0.35">
      <c r="E50" s="18">
        <v>2039</v>
      </c>
      <c r="F50" s="19">
        <v>232.18667600000001</v>
      </c>
      <c r="G50" s="19">
        <v>74.599997999999999</v>
      </c>
      <c r="H50" s="19">
        <v>159.072113</v>
      </c>
    </row>
    <row r="51" spans="5:8" x14ac:dyDescent="0.35">
      <c r="E51" s="18">
        <v>2040</v>
      </c>
      <c r="F51" s="20">
        <v>237.155472</v>
      </c>
      <c r="G51" s="20">
        <v>74.900002000000001</v>
      </c>
      <c r="H51" s="20">
        <v>162.683044</v>
      </c>
    </row>
  </sheetData>
  <mergeCells count="1"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B3" sqref="B3"/>
    </sheetView>
  </sheetViews>
  <sheetFormatPr defaultRowHeight="14.5" x14ac:dyDescent="0.35"/>
  <cols>
    <col min="1" max="1" width="24.6328125" bestFit="1" customWidth="1"/>
    <col min="2" max="2" width="14" bestFit="1" customWidth="1"/>
    <col min="5" max="5" width="15.08984375" bestFit="1" customWidth="1"/>
    <col min="6" max="6" width="12.90625" bestFit="1" customWidth="1"/>
    <col min="7" max="7" width="13.6328125" bestFit="1" customWidth="1"/>
    <col min="8" max="8" width="19.36328125" bestFit="1" customWidth="1"/>
    <col min="9" max="9" width="13.6328125" bestFit="1" customWidth="1"/>
    <col min="10" max="10" width="9.08984375" customWidth="1"/>
    <col min="12" max="12" width="14.453125" bestFit="1" customWidth="1"/>
    <col min="14" max="14" width="21.90625" customWidth="1"/>
    <col min="16" max="16" width="11.6328125" bestFit="1" customWidth="1"/>
  </cols>
  <sheetData>
    <row r="1" spans="1:17" ht="26" x14ac:dyDescent="0.6">
      <c r="A1" s="2" t="s">
        <v>15</v>
      </c>
      <c r="B1" s="2">
        <f ca="1">B2+(B24*B22)</f>
        <v>2121024.802782977</v>
      </c>
      <c r="D1" s="24" t="s">
        <v>17</v>
      </c>
      <c r="E1" s="24"/>
      <c r="N1" s="2" t="s">
        <v>25</v>
      </c>
    </row>
    <row r="2" spans="1:17" ht="15" thickBot="1" x14ac:dyDescent="0.4">
      <c r="A2" s="1" t="s">
        <v>9</v>
      </c>
      <c r="B2" s="10">
        <f ca="1">SUM(B7,B11,B13,B16,)</f>
        <v>2121024.802782977</v>
      </c>
      <c r="D2" s="8" t="s">
        <v>20</v>
      </c>
      <c r="E2" s="21" t="s">
        <v>19</v>
      </c>
      <c r="F2" s="21">
        <f ca="1">_xll.PsiUniform(0.15,0.3)</f>
        <v>0.19541220383476895</v>
      </c>
      <c r="K2" s="22" t="s">
        <v>23</v>
      </c>
      <c r="L2" s="7" t="s">
        <v>24</v>
      </c>
      <c r="N2" t="s">
        <v>26</v>
      </c>
      <c r="O2" s="21">
        <f ca="1">_xll.PsiNormal(0.75,0.02)</f>
        <v>0.75012879181191094</v>
      </c>
    </row>
    <row r="3" spans="1:17" s="4" customFormat="1" ht="15.5" thickTop="1" thickBot="1" x14ac:dyDescent="0.4">
      <c r="A3" s="3" t="s">
        <v>6</v>
      </c>
      <c r="B3" s="11">
        <f ca="1">INT(_xll.PsiUniform(10,30))</f>
        <v>17</v>
      </c>
      <c r="D3" s="5">
        <v>1</v>
      </c>
      <c r="E3" t="s">
        <v>18</v>
      </c>
      <c r="F3" s="21">
        <f ca="1">B22*_xll.PsiNormal(400,120)</f>
        <v>0</v>
      </c>
      <c r="G3" t="s">
        <v>21</v>
      </c>
      <c r="H3" s="4">
        <f ca="1">F3*(1-$F$2)</f>
        <v>0</v>
      </c>
      <c r="I3" s="6" t="s">
        <v>22</v>
      </c>
      <c r="J3" s="6">
        <f ca="1">365*(AVERAGE(F3,H3))</f>
        <v>0</v>
      </c>
      <c r="K3" s="23">
        <f ca="1">_xll.PsiTriangular(G25,H25,F25)</f>
        <v>94.90176278711067</v>
      </c>
      <c r="L3" s="9">
        <f ca="1">J3*K3</f>
        <v>0</v>
      </c>
      <c r="N3" t="s">
        <v>27</v>
      </c>
      <c r="O3">
        <v>0.06</v>
      </c>
    </row>
    <row r="4" spans="1:17" s="4" customFormat="1" ht="15.5" thickTop="1" thickBot="1" x14ac:dyDescent="0.4">
      <c r="A4" s="3" t="s">
        <v>0</v>
      </c>
      <c r="B4" s="11">
        <f ca="1">_xll.PsiNormal(12000, 1000)</f>
        <v>12706.090804246604</v>
      </c>
      <c r="D4" s="5">
        <v>2</v>
      </c>
      <c r="E4" s="4" t="s">
        <v>18</v>
      </c>
      <c r="F4" s="4">
        <f ca="1">H3</f>
        <v>0</v>
      </c>
      <c r="G4" t="s">
        <v>21</v>
      </c>
      <c r="H4" s="4">
        <f ca="1">F4*(1-$F$2)</f>
        <v>0</v>
      </c>
      <c r="I4" s="6" t="s">
        <v>22</v>
      </c>
      <c r="J4" s="6">
        <f t="shared" ref="J4:J17" ca="1" si="0">365*(AVERAGE(F4,H4))</f>
        <v>0</v>
      </c>
      <c r="K4" s="23">
        <f ca="1">_xll.PsiTriangular(G26,H26,F26)</f>
        <v>97.141025111463591</v>
      </c>
      <c r="L4" s="9">
        <f t="shared" ref="L4:L17" ca="1" si="1">J4*K4</f>
        <v>0</v>
      </c>
      <c r="N4" t="s">
        <v>28</v>
      </c>
      <c r="O4" s="21">
        <f ca="1">_xll.PsiNormal(6.8,1)</f>
        <v>6.7551894049912597</v>
      </c>
    </row>
    <row r="5" spans="1:17" s="4" customFormat="1" ht="15.5" thickTop="1" thickBot="1" x14ac:dyDescent="0.4">
      <c r="A5" s="3" t="s">
        <v>1</v>
      </c>
      <c r="B5" s="3">
        <v>960</v>
      </c>
      <c r="D5" s="5">
        <v>3</v>
      </c>
      <c r="E5" t="s">
        <v>18</v>
      </c>
      <c r="F5" s="4">
        <f ca="1">H4</f>
        <v>0</v>
      </c>
      <c r="G5" t="s">
        <v>21</v>
      </c>
      <c r="H5" s="4">
        <f ca="1">F5*(1-$F$2)</f>
        <v>0</v>
      </c>
      <c r="I5" s="6" t="s">
        <v>22</v>
      </c>
      <c r="J5" s="6">
        <f t="shared" ca="1" si="0"/>
        <v>0</v>
      </c>
      <c r="K5" s="23">
        <f ca="1">_xll.PsiTriangular(G27,H27,F27)</f>
        <v>93.908657862752321</v>
      </c>
      <c r="L5" s="9">
        <f t="shared" ca="1" si="1"/>
        <v>0</v>
      </c>
    </row>
    <row r="6" spans="1:17" s="4" customFormat="1" ht="15.5" thickTop="1" thickBot="1" x14ac:dyDescent="0.4">
      <c r="A6" s="3" t="s">
        <v>2</v>
      </c>
      <c r="B6" s="11">
        <f ca="1">B4*B5</f>
        <v>12197847.172076739</v>
      </c>
      <c r="D6" s="5">
        <v>4</v>
      </c>
      <c r="E6" s="4" t="s">
        <v>18</v>
      </c>
      <c r="F6" s="4">
        <f t="shared" ref="F6:F17" ca="1" si="2">H5</f>
        <v>0</v>
      </c>
      <c r="G6" t="s">
        <v>21</v>
      </c>
      <c r="H6" s="4">
        <f t="shared" ref="H6:H17" ca="1" si="3">F6*(1-$F$2)</f>
        <v>0</v>
      </c>
      <c r="I6" s="6" t="s">
        <v>22</v>
      </c>
      <c r="J6" s="6">
        <f t="shared" ca="1" si="0"/>
        <v>0</v>
      </c>
      <c r="K6" s="23">
        <f ca="1">_xll.PsiTriangular(G28,H28,F28)</f>
        <v>73.730190205767556</v>
      </c>
      <c r="L6" s="9">
        <f t="shared" ca="1" si="1"/>
        <v>0</v>
      </c>
    </row>
    <row r="7" spans="1:17" ht="27" thickTop="1" thickBot="1" x14ac:dyDescent="0.65">
      <c r="A7" s="1" t="s">
        <v>7</v>
      </c>
      <c r="B7" s="10">
        <f ca="1">B6/B3</f>
        <v>717520.42188686703</v>
      </c>
      <c r="D7" s="5">
        <v>5</v>
      </c>
      <c r="E7" t="s">
        <v>18</v>
      </c>
      <c r="F7" s="4">
        <f t="shared" ca="1" si="2"/>
        <v>0</v>
      </c>
      <c r="G7" t="s">
        <v>21</v>
      </c>
      <c r="H7" s="4">
        <f t="shared" ca="1" si="3"/>
        <v>0</v>
      </c>
      <c r="I7" s="6" t="s">
        <v>22</v>
      </c>
      <c r="J7" s="6">
        <f t="shared" ca="1" si="0"/>
        <v>0</v>
      </c>
      <c r="K7" s="23">
        <f ca="1">_xll.PsiTriangular(G29,H29,F29)</f>
        <v>86.216364677781144</v>
      </c>
      <c r="L7" s="9">
        <f t="shared" ca="1" si="1"/>
        <v>0</v>
      </c>
      <c r="N7" s="2" t="s">
        <v>29</v>
      </c>
      <c r="P7" t="s">
        <v>32</v>
      </c>
      <c r="Q7" t="s">
        <v>31</v>
      </c>
    </row>
    <row r="8" spans="1:17" s="4" customFormat="1" ht="15.5" thickTop="1" thickBot="1" x14ac:dyDescent="0.4">
      <c r="A8" s="3" t="s">
        <v>3</v>
      </c>
      <c r="B8" s="11">
        <f ca="1">INT(_xll.PsiNormal(50,7))</f>
        <v>38</v>
      </c>
      <c r="D8" s="5">
        <v>6</v>
      </c>
      <c r="E8" s="4" t="s">
        <v>18</v>
      </c>
      <c r="F8" s="4">
        <f t="shared" ca="1" si="2"/>
        <v>0</v>
      </c>
      <c r="G8" t="s">
        <v>21</v>
      </c>
      <c r="H8" s="4">
        <f t="shared" ca="1" si="3"/>
        <v>0</v>
      </c>
      <c r="I8" s="6" t="s">
        <v>22</v>
      </c>
      <c r="J8" s="6">
        <f t="shared" ca="1" si="0"/>
        <v>0</v>
      </c>
      <c r="K8" s="23">
        <f ca="1">_xll.PsiTriangular(G30,H30,F30)</f>
        <v>141.6762288011692</v>
      </c>
      <c r="L8" s="9">
        <f t="shared" ca="1" si="1"/>
        <v>0</v>
      </c>
      <c r="N8" s="5">
        <v>1</v>
      </c>
      <c r="O8" s="5">
        <f ca="1">((L3*$O$2)*(1-$O$3))-($O$4*J3)</f>
        <v>0</v>
      </c>
      <c r="P8" s="4">
        <v>0.1</v>
      </c>
      <c r="Q8" s="4">
        <f ca="1">O8/((1+P8)^N8)</f>
        <v>0</v>
      </c>
    </row>
    <row r="9" spans="1:17" s="4" customFormat="1" ht="15.5" thickTop="1" thickBot="1" x14ac:dyDescent="0.4">
      <c r="A9" s="3" t="s">
        <v>4</v>
      </c>
      <c r="B9" s="3">
        <v>43000</v>
      </c>
      <c r="D9" s="5">
        <v>7</v>
      </c>
      <c r="E9" t="s">
        <v>18</v>
      </c>
      <c r="F9" s="4">
        <f t="shared" ca="1" si="2"/>
        <v>0</v>
      </c>
      <c r="G9" t="s">
        <v>21</v>
      </c>
      <c r="H9" s="4">
        <f t="shared" ca="1" si="3"/>
        <v>0</v>
      </c>
      <c r="I9" s="6" t="s">
        <v>22</v>
      </c>
      <c r="J9" s="6">
        <f t="shared" ca="1" si="0"/>
        <v>0</v>
      </c>
      <c r="K9" s="23">
        <f ca="1">_xll.PsiTriangular(G31,H31,F31)</f>
        <v>106.64490836142251</v>
      </c>
      <c r="L9" s="9">
        <f t="shared" ca="1" si="1"/>
        <v>0</v>
      </c>
      <c r="N9" s="5">
        <v>2</v>
      </c>
      <c r="O9" s="5">
        <f t="shared" ref="O9:O22" ca="1" si="4">((L4*$O$2)*(1-$O$3))-($O$4*J4)</f>
        <v>0</v>
      </c>
      <c r="P9" s="4">
        <v>0.1</v>
      </c>
      <c r="Q9" s="4">
        <f t="shared" ref="Q9:Q22" ca="1" si="5">O9/((1+P9)^N9)</f>
        <v>0</v>
      </c>
    </row>
    <row r="10" spans="1:17" s="4" customFormat="1" ht="15.5" thickTop="1" thickBot="1" x14ac:dyDescent="0.4">
      <c r="A10" s="3" t="s">
        <v>5</v>
      </c>
      <c r="B10" s="3">
        <f ca="1">PRODUCT(B8:B9)</f>
        <v>1634000</v>
      </c>
      <c r="D10" s="5">
        <v>8</v>
      </c>
      <c r="E10" s="4" t="s">
        <v>18</v>
      </c>
      <c r="F10" s="4">
        <f t="shared" ca="1" si="2"/>
        <v>0</v>
      </c>
      <c r="G10" t="s">
        <v>21</v>
      </c>
      <c r="H10" s="4">
        <f t="shared" ca="1" si="3"/>
        <v>0</v>
      </c>
      <c r="I10" s="6" t="s">
        <v>22</v>
      </c>
      <c r="J10" s="6">
        <f t="shared" ca="1" si="0"/>
        <v>0</v>
      </c>
      <c r="K10" s="23">
        <f ca="1">_xll.PsiTriangular(G32,H32,F32)</f>
        <v>114.3877190557841</v>
      </c>
      <c r="L10" s="9">
        <f t="shared" ca="1" si="1"/>
        <v>0</v>
      </c>
      <c r="N10" s="5">
        <v>3</v>
      </c>
      <c r="O10" s="5">
        <f t="shared" ca="1" si="4"/>
        <v>0</v>
      </c>
      <c r="P10" s="4">
        <v>0.1</v>
      </c>
      <c r="Q10" s="4">
        <f t="shared" ca="1" si="5"/>
        <v>0</v>
      </c>
    </row>
    <row r="11" spans="1:17" ht="15.5" thickTop="1" thickBot="1" x14ac:dyDescent="0.4">
      <c r="A11" s="1" t="s">
        <v>8</v>
      </c>
      <c r="B11" s="10">
        <f ca="1">B10/B3</f>
        <v>96117.647058823524</v>
      </c>
      <c r="D11" s="5">
        <v>9</v>
      </c>
      <c r="E11" t="s">
        <v>18</v>
      </c>
      <c r="F11" s="4">
        <f t="shared" ca="1" si="2"/>
        <v>0</v>
      </c>
      <c r="G11" t="s">
        <v>21</v>
      </c>
      <c r="H11" s="4">
        <f t="shared" ca="1" si="3"/>
        <v>0</v>
      </c>
      <c r="I11" s="6" t="s">
        <v>22</v>
      </c>
      <c r="J11" s="6">
        <f t="shared" ca="1" si="0"/>
        <v>0</v>
      </c>
      <c r="K11" s="23">
        <f ca="1">_xll.PsiTriangular(G33,H33,F33)</f>
        <v>135.47088205259087</v>
      </c>
      <c r="L11" s="9">
        <f t="shared" ca="1" si="1"/>
        <v>0</v>
      </c>
      <c r="N11" s="5">
        <v>4</v>
      </c>
      <c r="O11" s="5">
        <f t="shared" ca="1" si="4"/>
        <v>0</v>
      </c>
      <c r="P11" s="4">
        <v>0.1</v>
      </c>
      <c r="Q11" s="4">
        <f t="shared" ca="1" si="5"/>
        <v>0</v>
      </c>
    </row>
    <row r="12" spans="1:17" s="4" customFormat="1" ht="15.5" thickTop="1" thickBot="1" x14ac:dyDescent="0.4">
      <c r="A12" s="3" t="s">
        <v>11</v>
      </c>
      <c r="B12" s="4">
        <f ca="1">_xll.PsiNormal(7.24, 0.589)</f>
        <v>6.9638813361449561</v>
      </c>
      <c r="D12" s="5">
        <v>10</v>
      </c>
      <c r="E12" s="4" t="s">
        <v>18</v>
      </c>
      <c r="F12" s="4">
        <f t="shared" ca="1" si="2"/>
        <v>0</v>
      </c>
      <c r="G12" t="s">
        <v>21</v>
      </c>
      <c r="H12" s="4">
        <f t="shared" ca="1" si="3"/>
        <v>0</v>
      </c>
      <c r="I12" s="6" t="s">
        <v>22</v>
      </c>
      <c r="J12" s="6">
        <f t="shared" ca="1" si="0"/>
        <v>0</v>
      </c>
      <c r="K12" s="23">
        <f ca="1">_xll.PsiTriangular(G34,H34,F34)</f>
        <v>111.50298748899141</v>
      </c>
      <c r="L12" s="9">
        <f t="shared" ca="1" si="1"/>
        <v>0</v>
      </c>
      <c r="N12" s="5">
        <v>5</v>
      </c>
      <c r="O12" s="5">
        <f t="shared" ca="1" si="4"/>
        <v>0</v>
      </c>
      <c r="P12" s="4">
        <v>0.1</v>
      </c>
      <c r="Q12" s="4">
        <f t="shared" ca="1" si="5"/>
        <v>0</v>
      </c>
    </row>
    <row r="13" spans="1:17" ht="15.5" thickTop="1" thickBot="1" x14ac:dyDescent="0.4">
      <c r="A13" s="1" t="s">
        <v>10</v>
      </c>
      <c r="B13" s="10">
        <f ca="1">EXP(B12)*1000</f>
        <v>1057731.0099032097</v>
      </c>
      <c r="D13" s="5">
        <v>11</v>
      </c>
      <c r="E13" t="s">
        <v>18</v>
      </c>
      <c r="F13" s="4">
        <f t="shared" ca="1" si="2"/>
        <v>0</v>
      </c>
      <c r="G13" t="s">
        <v>21</v>
      </c>
      <c r="H13" s="4">
        <f t="shared" ca="1" si="3"/>
        <v>0</v>
      </c>
      <c r="I13" s="6" t="s">
        <v>22</v>
      </c>
      <c r="J13" s="6">
        <f t="shared" ca="1" si="0"/>
        <v>0</v>
      </c>
      <c r="K13" s="23">
        <f ca="1">_xll.PsiTriangular(G35,H35,F35)</f>
        <v>159.15531025009062</v>
      </c>
      <c r="L13" s="9">
        <f t="shared" ca="1" si="1"/>
        <v>0</v>
      </c>
      <c r="N13" s="5">
        <v>6</v>
      </c>
      <c r="O13" s="5">
        <f t="shared" ca="1" si="4"/>
        <v>0</v>
      </c>
      <c r="P13" s="4">
        <v>0.1</v>
      </c>
      <c r="Q13" s="4">
        <f t="shared" ca="1" si="5"/>
        <v>0</v>
      </c>
    </row>
    <row r="14" spans="1:17" s="3" customFormat="1" ht="15.5" thickTop="1" thickBot="1" x14ac:dyDescent="0.4">
      <c r="A14" s="3" t="s">
        <v>12</v>
      </c>
      <c r="B14" s="3">
        <v>420000</v>
      </c>
      <c r="D14" s="5">
        <v>12</v>
      </c>
      <c r="E14" s="4" t="s">
        <v>18</v>
      </c>
      <c r="F14" s="4">
        <f t="shared" ca="1" si="2"/>
        <v>0</v>
      </c>
      <c r="G14" t="s">
        <v>21</v>
      </c>
      <c r="H14" s="4">
        <f t="shared" ca="1" si="3"/>
        <v>0</v>
      </c>
      <c r="I14" s="6" t="s">
        <v>22</v>
      </c>
      <c r="J14" s="6">
        <f t="shared" ca="1" si="0"/>
        <v>0</v>
      </c>
      <c r="K14" s="23">
        <f ca="1">_xll.PsiTriangular(G36,H36,F36)</f>
        <v>127.9685721548465</v>
      </c>
      <c r="L14" s="9">
        <f t="shared" ca="1" si="1"/>
        <v>0</v>
      </c>
      <c r="N14" s="5">
        <v>7</v>
      </c>
      <c r="O14" s="5">
        <f t="shared" ca="1" si="4"/>
        <v>0</v>
      </c>
      <c r="P14" s="4">
        <v>0.1</v>
      </c>
      <c r="Q14" s="4">
        <f t="shared" ca="1" si="5"/>
        <v>0</v>
      </c>
    </row>
    <row r="15" spans="1:17" s="3" customFormat="1" ht="15.5" thickTop="1" thickBot="1" x14ac:dyDescent="0.4">
      <c r="A15" s="3" t="s">
        <v>13</v>
      </c>
      <c r="B15" s="3">
        <f ca="1">_xll.PsiTriangular(0.4,0.5,0.65)</f>
        <v>0.59441839031922983</v>
      </c>
      <c r="D15" s="5">
        <v>13</v>
      </c>
      <c r="E15" t="s">
        <v>18</v>
      </c>
      <c r="F15" s="4">
        <f t="shared" ca="1" si="2"/>
        <v>0</v>
      </c>
      <c r="G15" t="s">
        <v>21</v>
      </c>
      <c r="H15" s="4">
        <f t="shared" ca="1" si="3"/>
        <v>0</v>
      </c>
      <c r="I15" s="6" t="s">
        <v>22</v>
      </c>
      <c r="J15" s="6">
        <f t="shared" ca="1" si="0"/>
        <v>0</v>
      </c>
      <c r="K15" s="23">
        <f ca="1">_xll.PsiTriangular(G37,H37,F37)</f>
        <v>122.14806780394279</v>
      </c>
      <c r="L15" s="9">
        <f t="shared" ca="1" si="1"/>
        <v>0</v>
      </c>
      <c r="N15" s="5">
        <v>8</v>
      </c>
      <c r="O15" s="5">
        <f t="shared" ca="1" si="4"/>
        <v>0</v>
      </c>
      <c r="P15" s="4">
        <v>0.1</v>
      </c>
      <c r="Q15" s="4">
        <f t="shared" ca="1" si="5"/>
        <v>0</v>
      </c>
    </row>
    <row r="16" spans="1:17" s="1" customFormat="1" ht="15.5" thickTop="1" thickBot="1" x14ac:dyDescent="0.4">
      <c r="A16" s="1" t="s">
        <v>14</v>
      </c>
      <c r="B16" s="10">
        <f ca="1">B14*B15</f>
        <v>249655.72393407652</v>
      </c>
      <c r="D16" s="5">
        <v>14</v>
      </c>
      <c r="E16" s="4" t="s">
        <v>18</v>
      </c>
      <c r="F16" s="4">
        <f t="shared" ca="1" si="2"/>
        <v>0</v>
      </c>
      <c r="G16" t="s">
        <v>21</v>
      </c>
      <c r="H16" s="4">
        <f t="shared" ca="1" si="3"/>
        <v>0</v>
      </c>
      <c r="I16" s="6" t="s">
        <v>22</v>
      </c>
      <c r="J16" s="6">
        <f t="shared" ca="1" si="0"/>
        <v>0</v>
      </c>
      <c r="K16" s="23">
        <f ca="1">_xll.PsiTriangular(G38,H38,F38)</f>
        <v>92.609656314754673</v>
      </c>
      <c r="L16" s="9">
        <f t="shared" ca="1" si="1"/>
        <v>0</v>
      </c>
      <c r="N16" s="5">
        <v>9</v>
      </c>
      <c r="O16" s="5">
        <f t="shared" ca="1" si="4"/>
        <v>0</v>
      </c>
      <c r="P16" s="4">
        <v>0.1</v>
      </c>
      <c r="Q16" s="4">
        <f t="shared" ca="1" si="5"/>
        <v>0</v>
      </c>
    </row>
    <row r="17" spans="1:17" s="1" customFormat="1" ht="15" thickTop="1" x14ac:dyDescent="0.35">
      <c r="D17" s="5">
        <v>15</v>
      </c>
      <c r="E17" t="s">
        <v>18</v>
      </c>
      <c r="F17" s="4">
        <f t="shared" ca="1" si="2"/>
        <v>0</v>
      </c>
      <c r="G17" t="s">
        <v>21</v>
      </c>
      <c r="H17" s="4">
        <f t="shared" ca="1" si="3"/>
        <v>0</v>
      </c>
      <c r="I17" s="6" t="s">
        <v>22</v>
      </c>
      <c r="J17" s="6">
        <f t="shared" ca="1" si="0"/>
        <v>0</v>
      </c>
      <c r="K17" s="23">
        <f ca="1">_xll.PsiTriangular(G39,H39,F39)</f>
        <v>154.5902460981724</v>
      </c>
      <c r="L17" s="9">
        <f t="shared" ca="1" si="1"/>
        <v>0</v>
      </c>
      <c r="N17" s="5">
        <v>10</v>
      </c>
      <c r="O17" s="5">
        <f t="shared" ca="1" si="4"/>
        <v>0</v>
      </c>
      <c r="P17" s="4">
        <v>0.1</v>
      </c>
      <c r="Q17" s="4">
        <f t="shared" ca="1" si="5"/>
        <v>0</v>
      </c>
    </row>
    <row r="18" spans="1:17" s="1" customFormat="1" x14ac:dyDescent="0.35">
      <c r="A18" s="12"/>
      <c r="B18" s="12"/>
      <c r="C18" s="12"/>
      <c r="N18" s="5">
        <v>11</v>
      </c>
      <c r="O18" s="5">
        <f t="shared" ca="1" si="4"/>
        <v>0</v>
      </c>
      <c r="P18" s="4">
        <v>0.1</v>
      </c>
      <c r="Q18" s="4">
        <f t="shared" ca="1" si="5"/>
        <v>0</v>
      </c>
    </row>
    <row r="19" spans="1:17" x14ac:dyDescent="0.35">
      <c r="A19" s="12"/>
      <c r="B19" s="12"/>
      <c r="N19" s="5">
        <v>12</v>
      </c>
      <c r="O19" s="5">
        <f t="shared" ca="1" si="4"/>
        <v>0</v>
      </c>
      <c r="P19" s="4">
        <v>0.1</v>
      </c>
      <c r="Q19" s="4">
        <f t="shared" ca="1" si="5"/>
        <v>0</v>
      </c>
    </row>
    <row r="20" spans="1:17" ht="26" x14ac:dyDescent="0.6">
      <c r="A20" s="12"/>
      <c r="B20" s="12"/>
      <c r="E20" s="2" t="s">
        <v>30</v>
      </c>
      <c r="N20" s="5">
        <v>13</v>
      </c>
      <c r="O20" s="5">
        <f t="shared" ca="1" si="4"/>
        <v>0</v>
      </c>
      <c r="P20" s="4">
        <v>0.1</v>
      </c>
      <c r="Q20" s="4">
        <f t="shared" ca="1" si="5"/>
        <v>0</v>
      </c>
    </row>
    <row r="21" spans="1:17" x14ac:dyDescent="0.35">
      <c r="A21" s="12"/>
      <c r="B21" s="12"/>
      <c r="E21" s="10">
        <f ca="1">(-B1)+SUM(Q8:Q22) + _xll.PsiOutput()</f>
        <v>-2121024.802782977</v>
      </c>
      <c r="N21" s="5">
        <v>14</v>
      </c>
      <c r="O21" s="5">
        <f t="shared" ca="1" si="4"/>
        <v>0</v>
      </c>
      <c r="P21" s="4">
        <v>0.1</v>
      </c>
      <c r="Q21" s="4">
        <f t="shared" ca="1" si="5"/>
        <v>0</v>
      </c>
    </row>
    <row r="22" spans="1:17" x14ac:dyDescent="0.35">
      <c r="A22" s="1" t="s">
        <v>36</v>
      </c>
      <c r="B22" s="10">
        <v>0</v>
      </c>
      <c r="N22" s="5">
        <v>15</v>
      </c>
      <c r="O22" s="5">
        <f t="shared" ca="1" si="4"/>
        <v>0</v>
      </c>
      <c r="P22" s="4">
        <v>0.1</v>
      </c>
      <c r="Q22" s="4">
        <f t="shared" ca="1" si="5"/>
        <v>0</v>
      </c>
    </row>
    <row r="23" spans="1:17" ht="18" customHeight="1" x14ac:dyDescent="0.35">
      <c r="A23" s="1"/>
      <c r="B23" s="1"/>
      <c r="N23" s="5"/>
      <c r="O23" s="5"/>
      <c r="P23" s="4"/>
      <c r="Q23" s="4"/>
    </row>
    <row r="24" spans="1:17" ht="22" customHeight="1" thickBot="1" x14ac:dyDescent="0.4">
      <c r="A24" s="1" t="s">
        <v>16</v>
      </c>
      <c r="B24" s="10">
        <f ca="1">B22*_xll.PsiNormal(378000,40000)</f>
        <v>0</v>
      </c>
      <c r="E24" s="13" t="s">
        <v>20</v>
      </c>
      <c r="F24" s="14" t="s">
        <v>37</v>
      </c>
      <c r="G24" s="14" t="s">
        <v>38</v>
      </c>
      <c r="H24" s="15" t="s">
        <v>39</v>
      </c>
    </row>
    <row r="25" spans="1:17" ht="15" thickTop="1" x14ac:dyDescent="0.35">
      <c r="E25" s="16">
        <v>2014</v>
      </c>
      <c r="F25" s="17">
        <v>122.699997</v>
      </c>
      <c r="G25" s="17">
        <v>84.699996999999996</v>
      </c>
      <c r="H25" s="17">
        <v>97.000731999999999</v>
      </c>
    </row>
    <row r="26" spans="1:17" x14ac:dyDescent="0.35">
      <c r="E26" s="18">
        <v>2015</v>
      </c>
      <c r="F26" s="19">
        <v>133.699997</v>
      </c>
      <c r="G26" s="19">
        <v>78.699996999999996</v>
      </c>
      <c r="H26" s="19">
        <v>95.908195000000006</v>
      </c>
    </row>
    <row r="27" spans="1:17" x14ac:dyDescent="0.35">
      <c r="E27" s="18">
        <v>2016</v>
      </c>
      <c r="F27" s="20">
        <v>142.66999799999999</v>
      </c>
      <c r="G27" s="20">
        <v>73.669998000000007</v>
      </c>
      <c r="H27" s="20">
        <v>97.000731999999999</v>
      </c>
    </row>
    <row r="28" spans="1:17" x14ac:dyDescent="0.35">
      <c r="E28" s="18">
        <v>2017</v>
      </c>
      <c r="F28" s="19">
        <v>145.72314499999999</v>
      </c>
      <c r="G28" s="19">
        <v>69</v>
      </c>
      <c r="H28" s="19">
        <v>99.076545999999993</v>
      </c>
    </row>
    <row r="29" spans="1:17" x14ac:dyDescent="0.35">
      <c r="E29" s="18">
        <v>2018</v>
      </c>
      <c r="F29" s="20">
        <v>148.84161399999999</v>
      </c>
      <c r="G29" s="20">
        <v>68.800003000000004</v>
      </c>
      <c r="H29" s="20">
        <v>101.19678500000001</v>
      </c>
    </row>
    <row r="30" spans="1:17" x14ac:dyDescent="0.35">
      <c r="E30" s="18">
        <v>2019</v>
      </c>
      <c r="F30" s="19">
        <v>152.026825</v>
      </c>
      <c r="G30" s="19">
        <v>68.699996999999996</v>
      </c>
      <c r="H30" s="19">
        <v>103.362396</v>
      </c>
    </row>
    <row r="31" spans="1:17" x14ac:dyDescent="0.35">
      <c r="E31" s="18">
        <v>2020</v>
      </c>
      <c r="F31" s="20">
        <v>155.28019699999999</v>
      </c>
      <c r="G31" s="20">
        <v>68.900002000000001</v>
      </c>
      <c r="H31" s="20">
        <v>105.574348</v>
      </c>
    </row>
    <row r="32" spans="1:17" x14ac:dyDescent="0.35">
      <c r="E32" s="18">
        <v>2021</v>
      </c>
      <c r="F32" s="19">
        <v>158.603195</v>
      </c>
      <c r="G32" s="19">
        <v>69.199996999999996</v>
      </c>
      <c r="H32" s="19">
        <v>107.833641</v>
      </c>
    </row>
    <row r="33" spans="5:8" x14ac:dyDescent="0.35">
      <c r="E33" s="18">
        <v>2022</v>
      </c>
      <c r="F33" s="20">
        <v>161.997299</v>
      </c>
      <c r="G33" s="20">
        <v>69.5</v>
      </c>
      <c r="H33" s="20">
        <v>110.14128100000001</v>
      </c>
    </row>
    <row r="34" spans="5:8" x14ac:dyDescent="0.35">
      <c r="E34" s="18">
        <v>2023</v>
      </c>
      <c r="F34" s="19">
        <v>165.46404999999999</v>
      </c>
      <c r="G34" s="19">
        <v>69.800003000000004</v>
      </c>
      <c r="H34" s="19">
        <v>112.498299</v>
      </c>
    </row>
    <row r="35" spans="5:8" x14ac:dyDescent="0.35">
      <c r="E35" s="18">
        <v>2024</v>
      </c>
      <c r="F35" s="20">
        <v>169.004974</v>
      </c>
      <c r="G35" s="20">
        <v>70.099997999999999</v>
      </c>
      <c r="H35" s="20">
        <v>114.90576900000001</v>
      </c>
    </row>
    <row r="36" spans="5:8" x14ac:dyDescent="0.35">
      <c r="E36" s="18">
        <v>2025</v>
      </c>
      <c r="F36" s="19">
        <v>172.621689</v>
      </c>
      <c r="G36" s="19">
        <v>70.400002000000001</v>
      </c>
      <c r="H36" s="19">
        <v>117.364761</v>
      </c>
    </row>
    <row r="37" spans="5:8" x14ac:dyDescent="0.35">
      <c r="E37" s="18">
        <v>2026</v>
      </c>
      <c r="F37" s="20">
        <v>176.31578099999999</v>
      </c>
      <c r="G37" s="20">
        <v>70.699996999999996</v>
      </c>
      <c r="H37" s="20">
        <v>119.876358</v>
      </c>
    </row>
    <row r="38" spans="5:8" x14ac:dyDescent="0.35">
      <c r="E38" s="18">
        <v>2027</v>
      </c>
      <c r="F38" s="19">
        <v>180.088943</v>
      </c>
      <c r="G38" s="19">
        <v>71</v>
      </c>
      <c r="H38" s="19">
        <v>122.441711</v>
      </c>
    </row>
    <row r="39" spans="5:8" x14ac:dyDescent="0.35">
      <c r="E39" s="18">
        <v>2028</v>
      </c>
      <c r="F39" s="20">
        <v>183.94284099999999</v>
      </c>
      <c r="G39" s="20">
        <v>71.300003000000004</v>
      </c>
      <c r="H39" s="20">
        <v>125.06197400000001</v>
      </c>
    </row>
    <row r="40" spans="5:8" x14ac:dyDescent="0.35">
      <c r="E40" s="18">
        <v>2029</v>
      </c>
      <c r="F40" s="19">
        <v>187.87922699999999</v>
      </c>
      <c r="G40" s="19">
        <v>71.599997999999999</v>
      </c>
      <c r="H40" s="19">
        <v>127.738281</v>
      </c>
    </row>
    <row r="41" spans="5:8" x14ac:dyDescent="0.35">
      <c r="E41" s="18">
        <v>2030</v>
      </c>
      <c r="F41" s="20">
        <v>191.89984100000001</v>
      </c>
      <c r="G41" s="20">
        <v>71.900002000000001</v>
      </c>
      <c r="H41" s="20">
        <v>130.47189299999999</v>
      </c>
    </row>
    <row r="42" spans="5:8" x14ac:dyDescent="0.35">
      <c r="E42" s="18">
        <v>2031</v>
      </c>
      <c r="F42" s="19">
        <v>196.00649999999999</v>
      </c>
      <c r="G42" s="19">
        <v>72.199996999999996</v>
      </c>
      <c r="H42" s="19">
        <v>133.263992</v>
      </c>
    </row>
    <row r="43" spans="5:8" x14ac:dyDescent="0.35">
      <c r="E43" s="18">
        <v>2032</v>
      </c>
      <c r="F43" s="20">
        <v>200.20103499999999</v>
      </c>
      <c r="G43" s="20">
        <v>72.5</v>
      </c>
      <c r="H43" s="20">
        <v>136.11582899999999</v>
      </c>
    </row>
    <row r="44" spans="5:8" x14ac:dyDescent="0.35">
      <c r="E44" s="18">
        <v>2033</v>
      </c>
      <c r="F44" s="19">
        <v>204.48533599999999</v>
      </c>
      <c r="G44" s="19">
        <v>72.800003000000004</v>
      </c>
      <c r="H44" s="19">
        <v>139.028717</v>
      </c>
    </row>
    <row r="45" spans="5:8" x14ac:dyDescent="0.35">
      <c r="E45" s="18">
        <v>2034</v>
      </c>
      <c r="F45" s="20">
        <v>208.86132799999999</v>
      </c>
      <c r="G45" s="20">
        <v>73.099997999999999</v>
      </c>
      <c r="H45" s="20">
        <v>142.184662</v>
      </c>
    </row>
    <row r="46" spans="5:8" x14ac:dyDescent="0.35">
      <c r="E46" s="18">
        <v>2035</v>
      </c>
      <c r="F46" s="19">
        <v>213.33094800000001</v>
      </c>
      <c r="G46" s="19">
        <v>73.400002000000001</v>
      </c>
      <c r="H46" s="19">
        <v>145.412262</v>
      </c>
    </row>
    <row r="47" spans="5:8" x14ac:dyDescent="0.35">
      <c r="E47" s="18">
        <v>2036</v>
      </c>
      <c r="F47" s="20">
        <v>217.89624000000001</v>
      </c>
      <c r="G47" s="20">
        <v>73.699996999999996</v>
      </c>
      <c r="H47" s="20">
        <v>148.71312</v>
      </c>
    </row>
    <row r="48" spans="5:8" x14ac:dyDescent="0.35">
      <c r="E48" s="18">
        <v>2037</v>
      </c>
      <c r="F48" s="19">
        <v>222.55921900000001</v>
      </c>
      <c r="G48" s="19">
        <v>74</v>
      </c>
      <c r="H48" s="19">
        <v>152.088898</v>
      </c>
    </row>
    <row r="49" spans="5:8" x14ac:dyDescent="0.35">
      <c r="E49" s="18">
        <v>2038</v>
      </c>
      <c r="F49" s="20">
        <v>227.321991</v>
      </c>
      <c r="G49" s="20">
        <v>74.300003000000004</v>
      </c>
      <c r="H49" s="20">
        <v>155.54132100000001</v>
      </c>
    </row>
    <row r="50" spans="5:8" x14ac:dyDescent="0.35">
      <c r="E50" s="18">
        <v>2039</v>
      </c>
      <c r="F50" s="19">
        <v>232.18667600000001</v>
      </c>
      <c r="G50" s="19">
        <v>74.599997999999999</v>
      </c>
      <c r="H50" s="19">
        <v>159.072113</v>
      </c>
    </row>
    <row r="51" spans="5:8" x14ac:dyDescent="0.35">
      <c r="E51" s="18">
        <v>2040</v>
      </c>
      <c r="F51" s="20">
        <v>237.155472</v>
      </c>
      <c r="G51" s="20">
        <v>74.900002000000001</v>
      </c>
      <c r="H51" s="20">
        <v>162.683044</v>
      </c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Together</vt:lpstr>
      <vt:lpstr>Oil Struck</vt:lpstr>
      <vt:lpstr>Dry Hole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2013-10-09T19:52:34Z</dcterms:created>
  <dcterms:modified xsi:type="dcterms:W3CDTF">2013-10-15T14:57:52Z</dcterms:modified>
</cp:coreProperties>
</file>