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gys\Desktop\a\Softver\SimulaciaSBT\"/>
    </mc:Choice>
  </mc:AlternateContent>
  <xr:revisionPtr revIDLastSave="0" documentId="13_ncr:1_{8A7EAD42-4AB9-44E8-A0B7-3834D60B0EC6}" xr6:coauthVersionLast="47" xr6:coauthVersionMax="47" xr10:uidLastSave="{00000000-0000-0000-0000-000000000000}"/>
  <bookViews>
    <workbookView xWindow="-108" yWindow="-108" windowWidth="23256" windowHeight="12456" activeTab="1" xr2:uid="{ADE2F994-812F-4270-A9D4-523964131ACE}"/>
  </bookViews>
  <sheets>
    <sheet name="Sumar" sheetId="1" r:id="rId1"/>
    <sheet name="Prvy" sheetId="2" r:id="rId2"/>
    <sheet name="Druhy" sheetId="3" r:id="rId3"/>
    <sheet name="Treti" sheetId="4" r:id="rId4"/>
    <sheet name="Stvrty" sheetId="5" r:id="rId5"/>
    <sheet name="Piaty" sheetId="6" r:id="rId6"/>
    <sheet name="Siesty" sheetId="7" r:id="rId7"/>
    <sheet name="Siedmy" sheetId="8" r:id="rId8"/>
    <sheet name="Osmy" sheetId="9" r:id="rId9"/>
    <sheet name="Deviaty" sheetId="10" r:id="rId10"/>
    <sheet name="Desiaty" sheetId="11" r:id="rId11"/>
    <sheet name="Jedenasty" sheetId="12" r:id="rId12"/>
    <sheet name="Dvanasty" sheetId="13" r:id="rId13"/>
    <sheet name="Trinasty" sheetId="14" r:id="rId14"/>
    <sheet name="Strnasty" sheetId="15" r:id="rId15"/>
    <sheet name="Patnasty" sheetId="16" r:id="rId16"/>
    <sheet name="Sestnasty" sheetId="17" r:id="rId17"/>
    <sheet name="Sedemnasty" sheetId="18" r:id="rId18"/>
    <sheet name="Osemnasty" sheetId="19" r:id="rId19"/>
    <sheet name="Devatnasty" sheetId="20" r:id="rId20"/>
    <sheet name="Dvadsiaty" sheetId="21" r:id="rId21"/>
    <sheet name="Dvadsiaty_prvý" sheetId="22" r:id="rId22"/>
    <sheet name="Dvadsiaty_druhy" sheetId="23" r:id="rId23"/>
    <sheet name="Dvadsiaty_treti" sheetId="24" r:id="rId24"/>
    <sheet name="Dvadsiaty_stvrty" sheetId="25" r:id="rId25"/>
    <sheet name="Dvadsiaty_piaty" sheetId="26" r:id="rId26"/>
    <sheet name="Dvadsiaty_siesty" sheetId="27" r:id="rId27"/>
    <sheet name="Dvadsiaty_siedmy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28" l="1"/>
  <c r="B41" i="28"/>
  <c r="F40" i="28"/>
  <c r="F39" i="28"/>
  <c r="D41" i="27"/>
  <c r="B41" i="27"/>
  <c r="F40" i="27"/>
  <c r="F39" i="27"/>
  <c r="D41" i="26"/>
  <c r="B41" i="26"/>
  <c r="F40" i="26"/>
  <c r="F39" i="26"/>
  <c r="D41" i="25"/>
  <c r="B41" i="25"/>
  <c r="F40" i="25"/>
  <c r="F39" i="25"/>
  <c r="D41" i="24"/>
  <c r="B41" i="24"/>
  <c r="F40" i="24"/>
  <c r="F41" i="24" s="1"/>
  <c r="F39" i="24"/>
  <c r="D41" i="23"/>
  <c r="B41" i="23"/>
  <c r="F40" i="23"/>
  <c r="F41" i="23" s="1"/>
  <c r="F39" i="23"/>
  <c r="D41" i="22"/>
  <c r="B41" i="22"/>
  <c r="F40" i="22"/>
  <c r="F39" i="22"/>
  <c r="D41" i="21"/>
  <c r="B41" i="21"/>
  <c r="F40" i="21"/>
  <c r="F39" i="21"/>
  <c r="D41" i="20"/>
  <c r="B41" i="20"/>
  <c r="F40" i="20"/>
  <c r="F39" i="20"/>
  <c r="D41" i="19"/>
  <c r="B41" i="19"/>
  <c r="F40" i="19"/>
  <c r="F39" i="19"/>
  <c r="D41" i="18"/>
  <c r="B41" i="18"/>
  <c r="F40" i="18"/>
  <c r="F39" i="18"/>
  <c r="D41" i="17"/>
  <c r="B41" i="17"/>
  <c r="F40" i="17"/>
  <c r="F39" i="17"/>
  <c r="F41" i="17" s="1"/>
  <c r="D41" i="16"/>
  <c r="B41" i="16"/>
  <c r="F40" i="16"/>
  <c r="F39" i="16"/>
  <c r="D41" i="15"/>
  <c r="B41" i="15"/>
  <c r="F40" i="15"/>
  <c r="F39" i="15"/>
  <c r="F41" i="15" s="1"/>
  <c r="D41" i="14"/>
  <c r="B41" i="14"/>
  <c r="F40" i="14"/>
  <c r="F39" i="14"/>
  <c r="F41" i="14" s="1"/>
  <c r="D41" i="13"/>
  <c r="D44" i="13" s="1"/>
  <c r="B41" i="13"/>
  <c r="F40" i="13"/>
  <c r="F39" i="13"/>
  <c r="F41" i="13" s="1"/>
  <c r="D41" i="12"/>
  <c r="B41" i="12"/>
  <c r="F40" i="12"/>
  <c r="F39" i="12"/>
  <c r="D41" i="11"/>
  <c r="B41" i="11"/>
  <c r="F40" i="11"/>
  <c r="F39" i="11"/>
  <c r="D41" i="10"/>
  <c r="B41" i="10"/>
  <c r="F40" i="10"/>
  <c r="F39" i="10"/>
  <c r="D41" i="9"/>
  <c r="B41" i="9"/>
  <c r="F40" i="9"/>
  <c r="F39" i="9"/>
  <c r="F41" i="9" s="1"/>
  <c r="D41" i="8"/>
  <c r="B41" i="8"/>
  <c r="F40" i="8"/>
  <c r="F39" i="8"/>
  <c r="D41" i="7"/>
  <c r="B41" i="7"/>
  <c r="F40" i="7"/>
  <c r="F39" i="7"/>
  <c r="D41" i="6"/>
  <c r="B41" i="6"/>
  <c r="F40" i="6"/>
  <c r="F39" i="6"/>
  <c r="D41" i="5"/>
  <c r="B41" i="5"/>
  <c r="F40" i="5"/>
  <c r="F41" i="5" s="1"/>
  <c r="D43" i="5" s="1"/>
  <c r="F39" i="5"/>
  <c r="D41" i="4"/>
  <c r="B41" i="4"/>
  <c r="F40" i="4"/>
  <c r="F39" i="4"/>
  <c r="D41" i="3"/>
  <c r="B41" i="3"/>
  <c r="F40" i="3"/>
  <c r="F39" i="3"/>
  <c r="D41" i="2"/>
  <c r="B41" i="2"/>
  <c r="F40" i="2"/>
  <c r="F39" i="2"/>
  <c r="AG1" i="3"/>
  <c r="AE7" i="3"/>
  <c r="AE1" i="3"/>
  <c r="AB10" i="3"/>
  <c r="AB9" i="3"/>
  <c r="AA10" i="3"/>
  <c r="AA9" i="3"/>
  <c r="AC9" i="3" s="1"/>
  <c r="AA11" i="3"/>
  <c r="AB4" i="3"/>
  <c r="AB5" i="3" s="1"/>
  <c r="AA4" i="3"/>
  <c r="AB3" i="3"/>
  <c r="AA3" i="3"/>
  <c r="AA5" i="3"/>
  <c r="AC3" i="3"/>
  <c r="D35" i="28"/>
  <c r="B35" i="28"/>
  <c r="D34" i="28"/>
  <c r="B34" i="28"/>
  <c r="D35" i="27"/>
  <c r="B35" i="27"/>
  <c r="D34" i="27"/>
  <c r="B34" i="27"/>
  <c r="F34" i="27" s="1"/>
  <c r="G34" i="27" s="1"/>
  <c r="D35" i="26"/>
  <c r="B35" i="26"/>
  <c r="F35" i="26" s="1"/>
  <c r="G35" i="26" s="1"/>
  <c r="D34" i="26"/>
  <c r="B34" i="26"/>
  <c r="D35" i="25"/>
  <c r="B35" i="25"/>
  <c r="D34" i="25"/>
  <c r="B34" i="25"/>
  <c r="F34" i="25" s="1"/>
  <c r="G34" i="25" s="1"/>
  <c r="D35" i="24"/>
  <c r="B35" i="24"/>
  <c r="D34" i="24"/>
  <c r="B34" i="24"/>
  <c r="D35" i="23"/>
  <c r="B35" i="23"/>
  <c r="D34" i="23"/>
  <c r="B34" i="23"/>
  <c r="F34" i="23" s="1"/>
  <c r="G34" i="23" s="1"/>
  <c r="D35" i="22"/>
  <c r="B35" i="22"/>
  <c r="F35" i="22" s="1"/>
  <c r="G35" i="22" s="1"/>
  <c r="D34" i="22"/>
  <c r="B34" i="22"/>
  <c r="D35" i="21"/>
  <c r="B35" i="21"/>
  <c r="D34" i="21"/>
  <c r="B34" i="21"/>
  <c r="F34" i="21" s="1"/>
  <c r="G34" i="21" s="1"/>
  <c r="D35" i="20"/>
  <c r="B35" i="20"/>
  <c r="F35" i="20" s="1"/>
  <c r="G35" i="20" s="1"/>
  <c r="D34" i="20"/>
  <c r="B34" i="20"/>
  <c r="D35" i="19"/>
  <c r="B35" i="19"/>
  <c r="F35" i="19" s="1"/>
  <c r="G35" i="19" s="1"/>
  <c r="D34" i="19"/>
  <c r="B34" i="19"/>
  <c r="D35" i="18"/>
  <c r="B35" i="18"/>
  <c r="F35" i="18" s="1"/>
  <c r="G35" i="18" s="1"/>
  <c r="D34" i="18"/>
  <c r="B34" i="18"/>
  <c r="D35" i="17"/>
  <c r="B35" i="17"/>
  <c r="D34" i="17"/>
  <c r="B34" i="17"/>
  <c r="F34" i="17" s="1"/>
  <c r="G34" i="17" s="1"/>
  <c r="D35" i="16"/>
  <c r="B35" i="16"/>
  <c r="D34" i="16"/>
  <c r="B34" i="16"/>
  <c r="F34" i="16" s="1"/>
  <c r="G34" i="16" s="1"/>
  <c r="D35" i="15"/>
  <c r="B35" i="15"/>
  <c r="F35" i="15" s="1"/>
  <c r="G35" i="15" s="1"/>
  <c r="D34" i="15"/>
  <c r="B34" i="15"/>
  <c r="D35" i="14"/>
  <c r="B35" i="14"/>
  <c r="D34" i="14"/>
  <c r="B34" i="14"/>
  <c r="F34" i="14" s="1"/>
  <c r="G34" i="14" s="1"/>
  <c r="D35" i="13"/>
  <c r="B35" i="13"/>
  <c r="D34" i="13"/>
  <c r="B34" i="13"/>
  <c r="D35" i="12"/>
  <c r="B35" i="12"/>
  <c r="F35" i="12" s="1"/>
  <c r="G35" i="12" s="1"/>
  <c r="D34" i="12"/>
  <c r="B34" i="12"/>
  <c r="F34" i="12" s="1"/>
  <c r="G34" i="12" s="1"/>
  <c r="D35" i="11"/>
  <c r="B35" i="11"/>
  <c r="D34" i="11"/>
  <c r="B34" i="11"/>
  <c r="D35" i="10"/>
  <c r="B35" i="10"/>
  <c r="D34" i="10"/>
  <c r="B34" i="10"/>
  <c r="D35" i="9"/>
  <c r="F35" i="9" s="1"/>
  <c r="G35" i="9" s="1"/>
  <c r="B35" i="9"/>
  <c r="D34" i="9"/>
  <c r="B34" i="9"/>
  <c r="D35" i="8"/>
  <c r="B35" i="8"/>
  <c r="D34" i="8"/>
  <c r="B34" i="8"/>
  <c r="D35" i="7"/>
  <c r="B35" i="7"/>
  <c r="D34" i="7"/>
  <c r="B34" i="7"/>
  <c r="D35" i="2"/>
  <c r="B35" i="2"/>
  <c r="F35" i="2" s="1"/>
  <c r="G35" i="2" s="1"/>
  <c r="D34" i="2"/>
  <c r="B34" i="2"/>
  <c r="D35" i="3"/>
  <c r="F35" i="3" s="1"/>
  <c r="G35" i="3" s="1"/>
  <c r="B35" i="3"/>
  <c r="D34" i="3"/>
  <c r="B34" i="3"/>
  <c r="F34" i="3" s="1"/>
  <c r="G34" i="3" s="1"/>
  <c r="D35" i="4"/>
  <c r="F35" i="4" s="1"/>
  <c r="G35" i="4" s="1"/>
  <c r="B35" i="4"/>
  <c r="D34" i="4"/>
  <c r="B34" i="4"/>
  <c r="F34" i="4" s="1"/>
  <c r="G34" i="4" s="1"/>
  <c r="D35" i="5"/>
  <c r="B35" i="5"/>
  <c r="F35" i="5" s="1"/>
  <c r="G35" i="5" s="1"/>
  <c r="F34" i="5"/>
  <c r="G34" i="5" s="1"/>
  <c r="D34" i="5"/>
  <c r="B34" i="5"/>
  <c r="D35" i="6"/>
  <c r="B35" i="6"/>
  <c r="D34" i="6"/>
  <c r="B34" i="6"/>
  <c r="F34" i="6" s="1"/>
  <c r="G34" i="6" s="1"/>
  <c r="P29" i="26"/>
  <c r="Q33" i="28"/>
  <c r="P33" i="28"/>
  <c r="R32" i="28"/>
  <c r="R31" i="28"/>
  <c r="V30" i="28"/>
  <c r="W30" i="28" s="1"/>
  <c r="T30" i="28"/>
  <c r="U30" i="28" s="1"/>
  <c r="Q27" i="28"/>
  <c r="P27" i="28"/>
  <c r="R26" i="28"/>
  <c r="R25" i="28"/>
  <c r="R27" i="28" s="1"/>
  <c r="W24" i="28"/>
  <c r="V24" i="28"/>
  <c r="T24" i="28"/>
  <c r="U24" i="28" s="1"/>
  <c r="Q21" i="28"/>
  <c r="P21" i="28"/>
  <c r="R20" i="28"/>
  <c r="R19" i="28"/>
  <c r="W18" i="28"/>
  <c r="V18" i="28"/>
  <c r="T18" i="28"/>
  <c r="U18" i="28" s="1"/>
  <c r="Q15" i="28"/>
  <c r="P15" i="28"/>
  <c r="R14" i="28"/>
  <c r="R13" i="28"/>
  <c r="V12" i="28"/>
  <c r="W12" i="28" s="1"/>
  <c r="T12" i="28"/>
  <c r="U12" i="28" s="1"/>
  <c r="Q9" i="28"/>
  <c r="P9" i="28"/>
  <c r="R8" i="28"/>
  <c r="R7" i="28"/>
  <c r="R9" i="28" s="1"/>
  <c r="V6" i="28"/>
  <c r="W6" i="28" s="1"/>
  <c r="T6" i="28"/>
  <c r="U6" i="28" s="1"/>
  <c r="Q23" i="27"/>
  <c r="P23" i="27"/>
  <c r="R22" i="27"/>
  <c r="R21" i="27"/>
  <c r="V20" i="27"/>
  <c r="W20" i="27" s="1"/>
  <c r="T20" i="27"/>
  <c r="U20" i="27" s="1"/>
  <c r="Q17" i="27"/>
  <c r="P17" i="27"/>
  <c r="R16" i="27"/>
  <c r="R15" i="27"/>
  <c r="W14" i="27"/>
  <c r="V14" i="27"/>
  <c r="T14" i="27"/>
  <c r="U14" i="27" s="1"/>
  <c r="Q11" i="27"/>
  <c r="P11" i="27"/>
  <c r="R10" i="27"/>
  <c r="R9" i="27"/>
  <c r="R11" i="27" s="1"/>
  <c r="V8" i="27"/>
  <c r="W8" i="27" s="1"/>
  <c r="T8" i="27"/>
  <c r="U8" i="27" s="1"/>
  <c r="Q5" i="27"/>
  <c r="P5" i="27"/>
  <c r="R4" i="27"/>
  <c r="R5" i="27" s="1"/>
  <c r="R3" i="27"/>
  <c r="V2" i="27"/>
  <c r="W2" i="27" s="1"/>
  <c r="T2" i="27"/>
  <c r="U2" i="27" s="1"/>
  <c r="Q29" i="26"/>
  <c r="R28" i="26"/>
  <c r="R27" i="26"/>
  <c r="R29" i="26" s="1"/>
  <c r="V26" i="26"/>
  <c r="W26" i="26" s="1"/>
  <c r="T26" i="26"/>
  <c r="U26" i="26" s="1"/>
  <c r="Q23" i="26"/>
  <c r="P23" i="26"/>
  <c r="R22" i="26"/>
  <c r="R21" i="26"/>
  <c r="R23" i="26" s="1"/>
  <c r="V20" i="26"/>
  <c r="W20" i="26" s="1"/>
  <c r="T20" i="26"/>
  <c r="U20" i="26" s="1"/>
  <c r="Q17" i="26"/>
  <c r="P17" i="26"/>
  <c r="R16" i="26"/>
  <c r="R15" i="26"/>
  <c r="V14" i="26"/>
  <c r="W14" i="26" s="1"/>
  <c r="T14" i="26"/>
  <c r="U14" i="26" s="1"/>
  <c r="Q11" i="26"/>
  <c r="P11" i="26"/>
  <c r="R10" i="26"/>
  <c r="R9" i="26"/>
  <c r="V8" i="26"/>
  <c r="W8" i="26" s="1"/>
  <c r="T8" i="26"/>
  <c r="U8" i="26" s="1"/>
  <c r="Q5" i="26"/>
  <c r="P5" i="26"/>
  <c r="R4" i="26"/>
  <c r="R3" i="26"/>
  <c r="V2" i="26"/>
  <c r="W2" i="26" s="1"/>
  <c r="T2" i="26"/>
  <c r="U2" i="26" s="1"/>
  <c r="Q29" i="25"/>
  <c r="P29" i="25"/>
  <c r="R28" i="25"/>
  <c r="R27" i="25"/>
  <c r="W26" i="25"/>
  <c r="V26" i="25"/>
  <c r="T26" i="25"/>
  <c r="U26" i="25" s="1"/>
  <c r="Q23" i="25"/>
  <c r="P23" i="25"/>
  <c r="R22" i="25"/>
  <c r="R21" i="25"/>
  <c r="V20" i="25"/>
  <c r="W20" i="25" s="1"/>
  <c r="T20" i="25"/>
  <c r="U20" i="25" s="1"/>
  <c r="Q17" i="25"/>
  <c r="P17" i="25"/>
  <c r="R16" i="25"/>
  <c r="R17" i="25" s="1"/>
  <c r="R15" i="25"/>
  <c r="V14" i="25"/>
  <c r="W14" i="25" s="1"/>
  <c r="T14" i="25"/>
  <c r="U14" i="25" s="1"/>
  <c r="Q11" i="25"/>
  <c r="P11" i="25"/>
  <c r="R10" i="25"/>
  <c r="R9" i="25"/>
  <c r="V8" i="25"/>
  <c r="W8" i="25" s="1"/>
  <c r="T8" i="25"/>
  <c r="U8" i="25" s="1"/>
  <c r="Q5" i="25"/>
  <c r="P5" i="25"/>
  <c r="R4" i="25"/>
  <c r="R3" i="25"/>
  <c r="V2" i="25"/>
  <c r="W2" i="25" s="1"/>
  <c r="T2" i="25"/>
  <c r="U2" i="25" s="1"/>
  <c r="Q23" i="24"/>
  <c r="P23" i="24"/>
  <c r="R22" i="24"/>
  <c r="R21" i="24"/>
  <c r="V20" i="24"/>
  <c r="W20" i="24" s="1"/>
  <c r="T20" i="24"/>
  <c r="U20" i="24" s="1"/>
  <c r="Q17" i="24"/>
  <c r="P17" i="24"/>
  <c r="R16" i="24"/>
  <c r="R15" i="24"/>
  <c r="R17" i="24" s="1"/>
  <c r="V14" i="24"/>
  <c r="W14" i="24" s="1"/>
  <c r="T14" i="24"/>
  <c r="U14" i="24" s="1"/>
  <c r="Q11" i="24"/>
  <c r="P11" i="24"/>
  <c r="R10" i="24"/>
  <c r="R11" i="24" s="1"/>
  <c r="R9" i="24"/>
  <c r="V8" i="24"/>
  <c r="W8" i="24" s="1"/>
  <c r="U8" i="24"/>
  <c r="T8" i="24"/>
  <c r="Q5" i="24"/>
  <c r="P5" i="24"/>
  <c r="R4" i="24"/>
  <c r="R3" i="24"/>
  <c r="R5" i="24" s="1"/>
  <c r="W2" i="24"/>
  <c r="V2" i="24"/>
  <c r="T2" i="24"/>
  <c r="U2" i="24" s="1"/>
  <c r="Q17" i="23"/>
  <c r="P17" i="23"/>
  <c r="R16" i="23"/>
  <c r="R15" i="23"/>
  <c r="V14" i="23"/>
  <c r="W14" i="23" s="1"/>
  <c r="T14" i="23"/>
  <c r="U14" i="23" s="1"/>
  <c r="Q11" i="23"/>
  <c r="P11" i="23"/>
  <c r="R10" i="23"/>
  <c r="R9" i="23"/>
  <c r="V8" i="23"/>
  <c r="W8" i="23" s="1"/>
  <c r="T8" i="23"/>
  <c r="U8" i="23" s="1"/>
  <c r="Q5" i="23"/>
  <c r="P5" i="23"/>
  <c r="R4" i="23"/>
  <c r="R3" i="23"/>
  <c r="R5" i="23" s="1"/>
  <c r="W2" i="23"/>
  <c r="V2" i="23"/>
  <c r="T2" i="23"/>
  <c r="U2" i="23" s="1"/>
  <c r="Q17" i="22"/>
  <c r="P17" i="22"/>
  <c r="R16" i="22"/>
  <c r="R15" i="22"/>
  <c r="R17" i="22" s="1"/>
  <c r="W14" i="22"/>
  <c r="V14" i="22"/>
  <c r="T14" i="22"/>
  <c r="U14" i="22" s="1"/>
  <c r="Q11" i="22"/>
  <c r="P11" i="22"/>
  <c r="R10" i="22"/>
  <c r="R9" i="22"/>
  <c r="V8" i="22"/>
  <c r="W8" i="22" s="1"/>
  <c r="T8" i="22"/>
  <c r="U8" i="22" s="1"/>
  <c r="Q5" i="22"/>
  <c r="P5" i="22"/>
  <c r="R4" i="22"/>
  <c r="R3" i="22"/>
  <c r="V2" i="22"/>
  <c r="W2" i="22" s="1"/>
  <c r="T2" i="22"/>
  <c r="U2" i="22" s="1"/>
  <c r="C11" i="28"/>
  <c r="D11" i="28" s="1"/>
  <c r="A11" i="28"/>
  <c r="B11" i="28" s="1"/>
  <c r="C11" i="27"/>
  <c r="D11" i="27" s="1"/>
  <c r="A11" i="27"/>
  <c r="B11" i="27" s="1"/>
  <c r="C11" i="26"/>
  <c r="D11" i="26" s="1"/>
  <c r="A11" i="26"/>
  <c r="B11" i="26" s="1"/>
  <c r="C11" i="25"/>
  <c r="D11" i="25" s="1"/>
  <c r="A11" i="25"/>
  <c r="B11" i="25" s="1"/>
  <c r="D11" i="24"/>
  <c r="C30" i="24" s="1"/>
  <c r="C11" i="24"/>
  <c r="A11" i="24"/>
  <c r="B11" i="24" s="1"/>
  <c r="C11" i="23"/>
  <c r="D11" i="23" s="1"/>
  <c r="A11" i="23"/>
  <c r="B11" i="23" s="1"/>
  <c r="C11" i="22"/>
  <c r="D11" i="22" s="1"/>
  <c r="B11" i="22"/>
  <c r="A11" i="22"/>
  <c r="Q33" i="21"/>
  <c r="P33" i="21"/>
  <c r="R32" i="21"/>
  <c r="R31" i="21"/>
  <c r="V30" i="21"/>
  <c r="W30" i="21" s="1"/>
  <c r="T30" i="21"/>
  <c r="U30" i="21" s="1"/>
  <c r="Q27" i="21"/>
  <c r="P27" i="21"/>
  <c r="R26" i="21"/>
  <c r="R25" i="21"/>
  <c r="V24" i="21"/>
  <c r="W24" i="21" s="1"/>
  <c r="T24" i="21"/>
  <c r="U24" i="21" s="1"/>
  <c r="C11" i="21"/>
  <c r="D11" i="21" s="1"/>
  <c r="A11" i="21"/>
  <c r="B11" i="21" s="1"/>
  <c r="Q21" i="21"/>
  <c r="P21" i="21"/>
  <c r="R20" i="21"/>
  <c r="R21" i="21" s="1"/>
  <c r="R19" i="21"/>
  <c r="V18" i="21"/>
  <c r="W18" i="21" s="1"/>
  <c r="T18" i="21"/>
  <c r="U18" i="21" s="1"/>
  <c r="Q15" i="21"/>
  <c r="P15" i="21"/>
  <c r="R14" i="21"/>
  <c r="R15" i="21" s="1"/>
  <c r="R13" i="21"/>
  <c r="V12" i="21"/>
  <c r="W12" i="21" s="1"/>
  <c r="U12" i="21"/>
  <c r="T12" i="21"/>
  <c r="Q9" i="21"/>
  <c r="P9" i="21"/>
  <c r="R8" i="21"/>
  <c r="R7" i="21"/>
  <c r="V6" i="21"/>
  <c r="W6" i="21" s="1"/>
  <c r="T6" i="21"/>
  <c r="U6" i="21" s="1"/>
  <c r="C24" i="18"/>
  <c r="C23" i="18"/>
  <c r="C22" i="18"/>
  <c r="C11" i="20"/>
  <c r="D11" i="20" s="1"/>
  <c r="A11" i="20"/>
  <c r="B11" i="20" s="1"/>
  <c r="C11" i="19"/>
  <c r="D11" i="19" s="1"/>
  <c r="A11" i="19"/>
  <c r="B11" i="19" s="1"/>
  <c r="Q21" i="20"/>
  <c r="P21" i="20"/>
  <c r="R20" i="20"/>
  <c r="R19" i="20"/>
  <c r="V18" i="20"/>
  <c r="W18" i="20" s="1"/>
  <c r="T18" i="20"/>
  <c r="U18" i="20" s="1"/>
  <c r="Q15" i="20"/>
  <c r="P15" i="20"/>
  <c r="R14" i="20"/>
  <c r="R13" i="20"/>
  <c r="R15" i="20" s="1"/>
  <c r="V12" i="20"/>
  <c r="W12" i="20" s="1"/>
  <c r="T12" i="20"/>
  <c r="U12" i="20" s="1"/>
  <c r="Q9" i="20"/>
  <c r="P9" i="20"/>
  <c r="R8" i="20"/>
  <c r="R7" i="20"/>
  <c r="R9" i="20" s="1"/>
  <c r="V6" i="20"/>
  <c r="W6" i="20" s="1"/>
  <c r="T6" i="20"/>
  <c r="U6" i="20" s="1"/>
  <c r="Q21" i="19"/>
  <c r="P21" i="19"/>
  <c r="R20" i="19"/>
  <c r="R19" i="19"/>
  <c r="V18" i="19"/>
  <c r="W18" i="19" s="1"/>
  <c r="U18" i="19"/>
  <c r="T18" i="19"/>
  <c r="Q15" i="19"/>
  <c r="P15" i="19"/>
  <c r="R14" i="19"/>
  <c r="R13" i="19"/>
  <c r="R15" i="19" s="1"/>
  <c r="V12" i="19"/>
  <c r="W12" i="19" s="1"/>
  <c r="T12" i="19"/>
  <c r="U12" i="19" s="1"/>
  <c r="Q9" i="19"/>
  <c r="P9" i="19"/>
  <c r="R8" i="19"/>
  <c r="R7" i="19"/>
  <c r="V6" i="19"/>
  <c r="W6" i="19" s="1"/>
  <c r="T6" i="19"/>
  <c r="U6" i="19" s="1"/>
  <c r="Q21" i="18"/>
  <c r="P21" i="18"/>
  <c r="R20" i="18"/>
  <c r="R19" i="18"/>
  <c r="V18" i="18"/>
  <c r="W18" i="18" s="1"/>
  <c r="T18" i="18"/>
  <c r="U18" i="18" s="1"/>
  <c r="Q15" i="18"/>
  <c r="P15" i="18"/>
  <c r="R14" i="18"/>
  <c r="R13" i="18"/>
  <c r="R15" i="18" s="1"/>
  <c r="V12" i="18"/>
  <c r="W12" i="18" s="1"/>
  <c r="T12" i="18"/>
  <c r="U12" i="18" s="1"/>
  <c r="Q9" i="18"/>
  <c r="P9" i="18"/>
  <c r="R8" i="18"/>
  <c r="R7" i="18"/>
  <c r="V6" i="18"/>
  <c r="W6" i="18" s="1"/>
  <c r="T6" i="18"/>
  <c r="U6" i="18" s="1"/>
  <c r="D11" i="18"/>
  <c r="C29" i="18" s="1"/>
  <c r="C11" i="18"/>
  <c r="A11" i="18"/>
  <c r="B11" i="18" s="1"/>
  <c r="Q23" i="17"/>
  <c r="P23" i="17"/>
  <c r="R22" i="17"/>
  <c r="R21" i="17"/>
  <c r="V20" i="17"/>
  <c r="W20" i="17" s="1"/>
  <c r="T20" i="17"/>
  <c r="U20" i="17" s="1"/>
  <c r="Q17" i="17"/>
  <c r="P17" i="17"/>
  <c r="R16" i="17"/>
  <c r="R15" i="17"/>
  <c r="V14" i="17"/>
  <c r="W14" i="17" s="1"/>
  <c r="T14" i="17"/>
  <c r="U14" i="17" s="1"/>
  <c r="Q11" i="17"/>
  <c r="P11" i="17"/>
  <c r="R10" i="17"/>
  <c r="R9" i="17"/>
  <c r="V8" i="17"/>
  <c r="W8" i="17" s="1"/>
  <c r="T8" i="17"/>
  <c r="U8" i="17" s="1"/>
  <c r="Q5" i="17"/>
  <c r="P5" i="17"/>
  <c r="R4" i="17"/>
  <c r="R3" i="17"/>
  <c r="R5" i="17" s="1"/>
  <c r="V2" i="17"/>
  <c r="W2" i="17" s="1"/>
  <c r="T2" i="17"/>
  <c r="U2" i="17" s="1"/>
  <c r="C11" i="17"/>
  <c r="D11" i="17" s="1"/>
  <c r="A11" i="17"/>
  <c r="B11" i="17" s="1"/>
  <c r="Q29" i="16"/>
  <c r="P29" i="16"/>
  <c r="R28" i="16"/>
  <c r="R27" i="16"/>
  <c r="R29" i="16" s="1"/>
  <c r="V26" i="16"/>
  <c r="W26" i="16" s="1"/>
  <c r="T26" i="16"/>
  <c r="U26" i="16" s="1"/>
  <c r="R23" i="16"/>
  <c r="Q23" i="16"/>
  <c r="P23" i="16"/>
  <c r="R22" i="16"/>
  <c r="R21" i="16"/>
  <c r="V20" i="16"/>
  <c r="W20" i="16" s="1"/>
  <c r="T20" i="16"/>
  <c r="U20" i="16" s="1"/>
  <c r="Q17" i="16"/>
  <c r="P17" i="16"/>
  <c r="R16" i="16"/>
  <c r="R15" i="16"/>
  <c r="R17" i="16" s="1"/>
  <c r="V14" i="16"/>
  <c r="W14" i="16" s="1"/>
  <c r="T14" i="16"/>
  <c r="U14" i="16" s="1"/>
  <c r="Q11" i="16"/>
  <c r="P11" i="16"/>
  <c r="R10" i="16"/>
  <c r="R9" i="16"/>
  <c r="R11" i="16" s="1"/>
  <c r="V8" i="16"/>
  <c r="W8" i="16" s="1"/>
  <c r="T8" i="16"/>
  <c r="U8" i="16" s="1"/>
  <c r="Q5" i="16"/>
  <c r="P5" i="16"/>
  <c r="R4" i="16"/>
  <c r="R3" i="16"/>
  <c r="R5" i="16" s="1"/>
  <c r="V2" i="16"/>
  <c r="W2" i="16" s="1"/>
  <c r="T2" i="16"/>
  <c r="U2" i="16" s="1"/>
  <c r="C11" i="16"/>
  <c r="D11" i="16" s="1"/>
  <c r="B11" i="16"/>
  <c r="A11" i="16"/>
  <c r="C11" i="15"/>
  <c r="D11" i="15" s="1"/>
  <c r="B11" i="15"/>
  <c r="A11" i="15"/>
  <c r="Q21" i="15"/>
  <c r="P21" i="15"/>
  <c r="R20" i="15"/>
  <c r="R19" i="15"/>
  <c r="V18" i="15"/>
  <c r="W18" i="15" s="1"/>
  <c r="T18" i="15"/>
  <c r="U18" i="15" s="1"/>
  <c r="Q15" i="15"/>
  <c r="P15" i="15"/>
  <c r="R14" i="15"/>
  <c r="R13" i="15"/>
  <c r="V12" i="15"/>
  <c r="W12" i="15" s="1"/>
  <c r="T12" i="15"/>
  <c r="U12" i="15" s="1"/>
  <c r="Q9" i="15"/>
  <c r="P9" i="15"/>
  <c r="R8" i="15"/>
  <c r="R7" i="15"/>
  <c r="R9" i="15" s="1"/>
  <c r="V6" i="15"/>
  <c r="W6" i="15" s="1"/>
  <c r="T6" i="15"/>
  <c r="U6" i="15" s="1"/>
  <c r="Q21" i="14"/>
  <c r="P21" i="14"/>
  <c r="R20" i="14"/>
  <c r="R19" i="14"/>
  <c r="R21" i="14" s="1"/>
  <c r="V18" i="14"/>
  <c r="W18" i="14" s="1"/>
  <c r="U18" i="14"/>
  <c r="T18" i="14"/>
  <c r="Q15" i="14"/>
  <c r="P15" i="14"/>
  <c r="R14" i="14"/>
  <c r="R13" i="14"/>
  <c r="R15" i="14" s="1"/>
  <c r="V12" i="14"/>
  <c r="W12" i="14" s="1"/>
  <c r="U12" i="14"/>
  <c r="T12" i="14"/>
  <c r="Q9" i="14"/>
  <c r="P9" i="14"/>
  <c r="R8" i="14"/>
  <c r="R7" i="14"/>
  <c r="V6" i="14"/>
  <c r="W6" i="14" s="1"/>
  <c r="T6" i="14"/>
  <c r="U6" i="14" s="1"/>
  <c r="C11" i="14"/>
  <c r="D11" i="14" s="1"/>
  <c r="B11" i="14"/>
  <c r="A11" i="14"/>
  <c r="Q17" i="13"/>
  <c r="P17" i="13"/>
  <c r="R16" i="13"/>
  <c r="R15" i="13"/>
  <c r="V14" i="13"/>
  <c r="W14" i="13" s="1"/>
  <c r="T14" i="13"/>
  <c r="U14" i="13" s="1"/>
  <c r="Q11" i="13"/>
  <c r="P11" i="13"/>
  <c r="R10" i="13"/>
  <c r="R9" i="13"/>
  <c r="R11" i="13" s="1"/>
  <c r="V8" i="13"/>
  <c r="W8" i="13" s="1"/>
  <c r="T8" i="13"/>
  <c r="U8" i="13" s="1"/>
  <c r="R5" i="13"/>
  <c r="Q5" i="13"/>
  <c r="P5" i="13"/>
  <c r="R4" i="13"/>
  <c r="R3" i="13"/>
  <c r="V2" i="13"/>
  <c r="W2" i="13" s="1"/>
  <c r="T2" i="13"/>
  <c r="U2" i="13" s="1"/>
  <c r="D11" i="13"/>
  <c r="C28" i="13" s="1"/>
  <c r="C11" i="13"/>
  <c r="B11" i="13"/>
  <c r="C27" i="13" s="1"/>
  <c r="A11" i="13"/>
  <c r="Q23" i="12"/>
  <c r="P23" i="12"/>
  <c r="R22" i="12"/>
  <c r="R23" i="12" s="1"/>
  <c r="R21" i="12"/>
  <c r="V20" i="12"/>
  <c r="W20" i="12" s="1"/>
  <c r="U20" i="12"/>
  <c r="T20" i="12"/>
  <c r="Q17" i="12"/>
  <c r="P17" i="12"/>
  <c r="R16" i="12"/>
  <c r="R15" i="12"/>
  <c r="R17" i="12" s="1"/>
  <c r="V14" i="12"/>
  <c r="W14" i="12" s="1"/>
  <c r="U14" i="12"/>
  <c r="T14" i="12"/>
  <c r="Q11" i="12"/>
  <c r="P11" i="12"/>
  <c r="R10" i="12"/>
  <c r="R9" i="12"/>
  <c r="V8" i="12"/>
  <c r="W8" i="12" s="1"/>
  <c r="T8" i="12"/>
  <c r="U8" i="12" s="1"/>
  <c r="Q5" i="12"/>
  <c r="P5" i="12"/>
  <c r="R4" i="12"/>
  <c r="R3" i="12"/>
  <c r="R5" i="12" s="1"/>
  <c r="V2" i="12"/>
  <c r="W2" i="12" s="1"/>
  <c r="T2" i="12"/>
  <c r="U2" i="12" s="1"/>
  <c r="C11" i="12"/>
  <c r="D11" i="12" s="1"/>
  <c r="A11" i="12"/>
  <c r="B11" i="12" s="1"/>
  <c r="Q33" i="11"/>
  <c r="P33" i="11"/>
  <c r="R32" i="11"/>
  <c r="R31" i="11"/>
  <c r="V30" i="11"/>
  <c r="W30" i="11" s="1"/>
  <c r="T30" i="11"/>
  <c r="U30" i="11" s="1"/>
  <c r="Q27" i="11"/>
  <c r="P27" i="11"/>
  <c r="R26" i="11"/>
  <c r="R27" i="11" s="1"/>
  <c r="R25" i="11"/>
  <c r="V24" i="11"/>
  <c r="W24" i="11" s="1"/>
  <c r="T24" i="11"/>
  <c r="U24" i="11" s="1"/>
  <c r="Q21" i="11"/>
  <c r="P21" i="11"/>
  <c r="R20" i="11"/>
  <c r="R19" i="11"/>
  <c r="V18" i="11"/>
  <c r="W18" i="11" s="1"/>
  <c r="T18" i="11"/>
  <c r="U18" i="11" s="1"/>
  <c r="R15" i="11"/>
  <c r="Q15" i="11"/>
  <c r="P15" i="11"/>
  <c r="R14" i="11"/>
  <c r="R13" i="11"/>
  <c r="V12" i="11"/>
  <c r="W12" i="11" s="1"/>
  <c r="T12" i="11"/>
  <c r="U12" i="11" s="1"/>
  <c r="Q9" i="11"/>
  <c r="P9" i="11"/>
  <c r="R8" i="11"/>
  <c r="R9" i="11" s="1"/>
  <c r="R7" i="11"/>
  <c r="V6" i="11"/>
  <c r="W6" i="11" s="1"/>
  <c r="T6" i="11"/>
  <c r="U6" i="11" s="1"/>
  <c r="C11" i="11"/>
  <c r="D11" i="11" s="1"/>
  <c r="B11" i="11"/>
  <c r="A11" i="11"/>
  <c r="P21" i="10"/>
  <c r="Q21" i="10"/>
  <c r="R20" i="10"/>
  <c r="R19" i="10"/>
  <c r="R21" i="10" s="1"/>
  <c r="V18" i="10"/>
  <c r="W18" i="10" s="1"/>
  <c r="T18" i="10"/>
  <c r="U18" i="10" s="1"/>
  <c r="Q15" i="10"/>
  <c r="P15" i="10"/>
  <c r="R14" i="10"/>
  <c r="R13" i="10"/>
  <c r="R15" i="10" s="1"/>
  <c r="V12" i="10"/>
  <c r="W12" i="10" s="1"/>
  <c r="T12" i="10"/>
  <c r="U12" i="10" s="1"/>
  <c r="Q9" i="10"/>
  <c r="P9" i="10"/>
  <c r="R8" i="10"/>
  <c r="R9" i="10" s="1"/>
  <c r="R7" i="10"/>
  <c r="V6" i="10"/>
  <c r="W6" i="10" s="1"/>
  <c r="T6" i="10"/>
  <c r="U6" i="10" s="1"/>
  <c r="D11" i="10"/>
  <c r="C29" i="10" s="1"/>
  <c r="C11" i="10"/>
  <c r="B11" i="10"/>
  <c r="A11" i="10"/>
  <c r="Q27" i="9"/>
  <c r="P27" i="9"/>
  <c r="R26" i="9"/>
  <c r="R25" i="9"/>
  <c r="V24" i="9"/>
  <c r="W24" i="9" s="1"/>
  <c r="T24" i="9"/>
  <c r="U24" i="9" s="1"/>
  <c r="Q21" i="9"/>
  <c r="P21" i="9"/>
  <c r="R20" i="9"/>
  <c r="R19" i="9"/>
  <c r="V18" i="9"/>
  <c r="W18" i="9" s="1"/>
  <c r="T18" i="9"/>
  <c r="U18" i="9" s="1"/>
  <c r="Q15" i="9"/>
  <c r="P15" i="9"/>
  <c r="R14" i="9"/>
  <c r="R13" i="9"/>
  <c r="R15" i="9" s="1"/>
  <c r="W12" i="9"/>
  <c r="V12" i="9"/>
  <c r="T12" i="9"/>
  <c r="U12" i="9" s="1"/>
  <c r="Q9" i="9"/>
  <c r="P9" i="9"/>
  <c r="R8" i="9"/>
  <c r="R7" i="9"/>
  <c r="R9" i="9" s="1"/>
  <c r="V6" i="9"/>
  <c r="W6" i="9" s="1"/>
  <c r="T6" i="9"/>
  <c r="U6" i="9" s="1"/>
  <c r="C11" i="9"/>
  <c r="D11" i="9" s="1"/>
  <c r="B11" i="9"/>
  <c r="A11" i="9"/>
  <c r="Q29" i="8"/>
  <c r="P29" i="8"/>
  <c r="R28" i="8"/>
  <c r="R27" i="8"/>
  <c r="V26" i="8"/>
  <c r="W26" i="8" s="1"/>
  <c r="T26" i="8"/>
  <c r="U26" i="8" s="1"/>
  <c r="Q23" i="8"/>
  <c r="P23" i="8"/>
  <c r="R22" i="8"/>
  <c r="R21" i="8"/>
  <c r="V20" i="8"/>
  <c r="W20" i="8" s="1"/>
  <c r="T20" i="8"/>
  <c r="U20" i="8" s="1"/>
  <c r="Q17" i="8"/>
  <c r="P17" i="8"/>
  <c r="R16" i="8"/>
  <c r="R15" i="8"/>
  <c r="R17" i="8" s="1"/>
  <c r="V14" i="8"/>
  <c r="W14" i="8" s="1"/>
  <c r="T14" i="8"/>
  <c r="U14" i="8" s="1"/>
  <c r="Q11" i="8"/>
  <c r="P11" i="8"/>
  <c r="R10" i="8"/>
  <c r="R9" i="8"/>
  <c r="R11" i="8" s="1"/>
  <c r="V8" i="8"/>
  <c r="W8" i="8" s="1"/>
  <c r="U8" i="8"/>
  <c r="T8" i="8"/>
  <c r="Q5" i="8"/>
  <c r="P5" i="8"/>
  <c r="R4" i="8"/>
  <c r="R3" i="8"/>
  <c r="V2" i="8"/>
  <c r="W2" i="8" s="1"/>
  <c r="T2" i="8"/>
  <c r="U2" i="8" s="1"/>
  <c r="C11" i="8"/>
  <c r="D11" i="8" s="1"/>
  <c r="A11" i="8"/>
  <c r="B11" i="8" s="1"/>
  <c r="Q23" i="7"/>
  <c r="P23" i="7"/>
  <c r="R22" i="7"/>
  <c r="R21" i="7"/>
  <c r="V20" i="7"/>
  <c r="W20" i="7" s="1"/>
  <c r="T20" i="7"/>
  <c r="U20" i="7" s="1"/>
  <c r="Q17" i="7"/>
  <c r="P17" i="7"/>
  <c r="R16" i="7"/>
  <c r="R17" i="7" s="1"/>
  <c r="R15" i="7"/>
  <c r="V14" i="7"/>
  <c r="W14" i="7" s="1"/>
  <c r="T14" i="7"/>
  <c r="U14" i="7" s="1"/>
  <c r="Q11" i="7"/>
  <c r="P11" i="7"/>
  <c r="R10" i="7"/>
  <c r="R9" i="7"/>
  <c r="V8" i="7"/>
  <c r="W8" i="7" s="1"/>
  <c r="T8" i="7"/>
  <c r="U8" i="7" s="1"/>
  <c r="Q5" i="7"/>
  <c r="P5" i="7"/>
  <c r="R4" i="7"/>
  <c r="R3" i="7"/>
  <c r="R5" i="7" s="1"/>
  <c r="V2" i="7"/>
  <c r="W2" i="7" s="1"/>
  <c r="T2" i="7"/>
  <c r="U2" i="7" s="1"/>
  <c r="D11" i="7"/>
  <c r="C11" i="7"/>
  <c r="A11" i="7"/>
  <c r="B11" i="7" s="1"/>
  <c r="Q17" i="6"/>
  <c r="P17" i="6"/>
  <c r="R16" i="6"/>
  <c r="R15" i="6"/>
  <c r="R17" i="6" s="1"/>
  <c r="Q11" i="6"/>
  <c r="P11" i="6"/>
  <c r="R10" i="6"/>
  <c r="R9" i="6"/>
  <c r="Q5" i="6"/>
  <c r="P5" i="6"/>
  <c r="R4" i="6"/>
  <c r="R3" i="6"/>
  <c r="R5" i="6" s="1"/>
  <c r="C11" i="6"/>
  <c r="D11" i="6" s="1"/>
  <c r="B11" i="6"/>
  <c r="A11" i="6"/>
  <c r="R17" i="5"/>
  <c r="Q17" i="5"/>
  <c r="P17" i="5"/>
  <c r="R16" i="5"/>
  <c r="R15" i="5"/>
  <c r="Q11" i="5"/>
  <c r="P11" i="5"/>
  <c r="R10" i="5"/>
  <c r="R9" i="5"/>
  <c r="R11" i="5" s="1"/>
  <c r="Q5" i="5"/>
  <c r="P5" i="5"/>
  <c r="R4" i="5"/>
  <c r="R3" i="5"/>
  <c r="R5" i="5" s="1"/>
  <c r="C11" i="5"/>
  <c r="D11" i="5" s="1"/>
  <c r="B11" i="5"/>
  <c r="A11" i="5"/>
  <c r="V20" i="4"/>
  <c r="W20" i="4" s="1"/>
  <c r="T20" i="4"/>
  <c r="U20" i="4" s="1"/>
  <c r="Q23" i="4"/>
  <c r="P23" i="4"/>
  <c r="R22" i="4"/>
  <c r="R21" i="4"/>
  <c r="R23" i="4" s="1"/>
  <c r="Q17" i="4"/>
  <c r="P17" i="4"/>
  <c r="R16" i="4"/>
  <c r="R15" i="4"/>
  <c r="R17" i="4" s="1"/>
  <c r="Q11" i="4"/>
  <c r="P11" i="4"/>
  <c r="R10" i="4"/>
  <c r="R9" i="4"/>
  <c r="Q5" i="4"/>
  <c r="P5" i="4"/>
  <c r="R4" i="4"/>
  <c r="R3" i="4"/>
  <c r="C30" i="4"/>
  <c r="C29" i="4"/>
  <c r="C28" i="4"/>
  <c r="C27" i="4"/>
  <c r="C26" i="4"/>
  <c r="C25" i="4"/>
  <c r="C24" i="4"/>
  <c r="C23" i="4"/>
  <c r="C22" i="4"/>
  <c r="C11" i="4"/>
  <c r="D11" i="4" s="1"/>
  <c r="A11" i="4"/>
  <c r="B11" i="4" s="1"/>
  <c r="C22" i="3"/>
  <c r="C30" i="3"/>
  <c r="C29" i="3"/>
  <c r="C28" i="3"/>
  <c r="C27" i="3"/>
  <c r="C26" i="3"/>
  <c r="C25" i="3"/>
  <c r="C24" i="3"/>
  <c r="C23" i="3"/>
  <c r="V26" i="3"/>
  <c r="W26" i="3" s="1"/>
  <c r="T26" i="3"/>
  <c r="U26" i="3" s="1"/>
  <c r="V20" i="3"/>
  <c r="W20" i="3" s="1"/>
  <c r="T20" i="3"/>
  <c r="U20" i="3" s="1"/>
  <c r="Q29" i="3"/>
  <c r="P29" i="3"/>
  <c r="R28" i="3"/>
  <c r="R27" i="3"/>
  <c r="Q23" i="3"/>
  <c r="P23" i="3"/>
  <c r="R22" i="3"/>
  <c r="R21" i="3"/>
  <c r="Q17" i="3"/>
  <c r="P17" i="3"/>
  <c r="R16" i="3"/>
  <c r="R15" i="3"/>
  <c r="Q11" i="3"/>
  <c r="P11" i="3"/>
  <c r="R10" i="3"/>
  <c r="R9" i="3"/>
  <c r="R11" i="3" s="1"/>
  <c r="Q5" i="3"/>
  <c r="P5" i="3"/>
  <c r="R4" i="3"/>
  <c r="R5" i="3" s="1"/>
  <c r="R3" i="3"/>
  <c r="V14" i="6"/>
  <c r="W14" i="6" s="1"/>
  <c r="T14" i="6"/>
  <c r="U14" i="6" s="1"/>
  <c r="V8" i="6"/>
  <c r="W8" i="6" s="1"/>
  <c r="T8" i="6"/>
  <c r="U8" i="6" s="1"/>
  <c r="V2" i="6"/>
  <c r="W2" i="6" s="1"/>
  <c r="T2" i="6"/>
  <c r="U2" i="6" s="1"/>
  <c r="V14" i="5"/>
  <c r="W14" i="5" s="1"/>
  <c r="T14" i="5"/>
  <c r="U14" i="5" s="1"/>
  <c r="V8" i="5"/>
  <c r="W8" i="5" s="1"/>
  <c r="T8" i="5"/>
  <c r="U8" i="5" s="1"/>
  <c r="V2" i="5"/>
  <c r="W2" i="5" s="1"/>
  <c r="T2" i="5"/>
  <c r="U2" i="5" s="1"/>
  <c r="V14" i="4"/>
  <c r="W14" i="4" s="1"/>
  <c r="T14" i="4"/>
  <c r="U14" i="4" s="1"/>
  <c r="V8" i="4"/>
  <c r="W8" i="4" s="1"/>
  <c r="T8" i="4"/>
  <c r="U8" i="4" s="1"/>
  <c r="V2" i="4"/>
  <c r="W2" i="4" s="1"/>
  <c r="T2" i="4"/>
  <c r="U2" i="4" s="1"/>
  <c r="V14" i="3"/>
  <c r="W14" i="3" s="1"/>
  <c r="T14" i="3"/>
  <c r="U14" i="3" s="1"/>
  <c r="V8" i="3"/>
  <c r="W8" i="3" s="1"/>
  <c r="T8" i="3"/>
  <c r="U8" i="3" s="1"/>
  <c r="V2" i="3"/>
  <c r="W2" i="3" s="1"/>
  <c r="T2" i="3"/>
  <c r="U2" i="3" s="1"/>
  <c r="V14" i="2"/>
  <c r="W14" i="2" s="1"/>
  <c r="T14" i="2"/>
  <c r="U14" i="2" s="1"/>
  <c r="V8" i="2"/>
  <c r="W8" i="2" s="1"/>
  <c r="T8" i="2"/>
  <c r="U8" i="2" s="1"/>
  <c r="V2" i="2"/>
  <c r="W2" i="2" s="1"/>
  <c r="T2" i="2"/>
  <c r="U2" i="2" s="1"/>
  <c r="Q17" i="2"/>
  <c r="P17" i="2"/>
  <c r="R16" i="2"/>
  <c r="R15" i="2"/>
  <c r="Q11" i="2"/>
  <c r="P11" i="2"/>
  <c r="R10" i="2"/>
  <c r="R9" i="2"/>
  <c r="Q5" i="2"/>
  <c r="P5" i="2"/>
  <c r="R4" i="2"/>
  <c r="R3" i="2"/>
  <c r="D11" i="3"/>
  <c r="C11" i="3"/>
  <c r="B11" i="3"/>
  <c r="A11" i="3"/>
  <c r="D8" i="3"/>
  <c r="C8" i="3"/>
  <c r="A8" i="3"/>
  <c r="B8" i="3" s="1"/>
  <c r="D8" i="28"/>
  <c r="C8" i="28"/>
  <c r="B8" i="28"/>
  <c r="A8" i="28"/>
  <c r="C8" i="27"/>
  <c r="D8" i="27" s="1"/>
  <c r="B8" i="27"/>
  <c r="A8" i="27"/>
  <c r="C8" i="26"/>
  <c r="D8" i="26" s="1"/>
  <c r="B8" i="26"/>
  <c r="A8" i="26"/>
  <c r="C8" i="25"/>
  <c r="D8" i="25" s="1"/>
  <c r="B8" i="25"/>
  <c r="A8" i="25"/>
  <c r="C8" i="24"/>
  <c r="D8" i="24" s="1"/>
  <c r="B8" i="24"/>
  <c r="A8" i="24"/>
  <c r="C8" i="23"/>
  <c r="D8" i="23" s="1"/>
  <c r="B8" i="23"/>
  <c r="A8" i="23"/>
  <c r="D8" i="22"/>
  <c r="C8" i="22"/>
  <c r="B8" i="22"/>
  <c r="A8" i="22"/>
  <c r="D8" i="21"/>
  <c r="C8" i="21"/>
  <c r="B8" i="21"/>
  <c r="A8" i="21"/>
  <c r="C8" i="20"/>
  <c r="D8" i="20" s="1"/>
  <c r="A8" i="20"/>
  <c r="B8" i="20" s="1"/>
  <c r="D8" i="19"/>
  <c r="C8" i="19"/>
  <c r="B8" i="19"/>
  <c r="A8" i="19"/>
  <c r="D8" i="18"/>
  <c r="C8" i="18"/>
  <c r="B8" i="18"/>
  <c r="A8" i="18"/>
  <c r="C8" i="17"/>
  <c r="D8" i="17" s="1"/>
  <c r="B8" i="17"/>
  <c r="A8" i="17"/>
  <c r="C8" i="16"/>
  <c r="D8" i="16" s="1"/>
  <c r="B8" i="16"/>
  <c r="A8" i="16"/>
  <c r="D8" i="15"/>
  <c r="C8" i="15"/>
  <c r="B8" i="15"/>
  <c r="A8" i="15"/>
  <c r="C8" i="14"/>
  <c r="D8" i="14" s="1"/>
  <c r="B8" i="14"/>
  <c r="A8" i="14"/>
  <c r="C8" i="13"/>
  <c r="D8" i="13" s="1"/>
  <c r="B8" i="13"/>
  <c r="A8" i="13"/>
  <c r="D8" i="12"/>
  <c r="C8" i="12"/>
  <c r="A8" i="12"/>
  <c r="B8" i="12" s="1"/>
  <c r="C8" i="11"/>
  <c r="D8" i="11" s="1"/>
  <c r="B8" i="11"/>
  <c r="A8" i="11"/>
  <c r="D8" i="10"/>
  <c r="C8" i="10"/>
  <c r="A8" i="10"/>
  <c r="B8" i="10" s="1"/>
  <c r="C8" i="9"/>
  <c r="D8" i="9" s="1"/>
  <c r="B8" i="9"/>
  <c r="A8" i="9"/>
  <c r="D8" i="8"/>
  <c r="C8" i="8"/>
  <c r="B8" i="8"/>
  <c r="A8" i="8"/>
  <c r="C8" i="7"/>
  <c r="D8" i="7" s="1"/>
  <c r="A8" i="7"/>
  <c r="B8" i="7" s="1"/>
  <c r="D8" i="6"/>
  <c r="C8" i="6"/>
  <c r="B8" i="6"/>
  <c r="A8" i="6"/>
  <c r="D8" i="5"/>
  <c r="C8" i="5"/>
  <c r="B8" i="5"/>
  <c r="A8" i="5"/>
  <c r="D5" i="28"/>
  <c r="C5" i="28"/>
  <c r="E4" i="28"/>
  <c r="E3" i="28"/>
  <c r="D5" i="27"/>
  <c r="C5" i="27"/>
  <c r="E4" i="27"/>
  <c r="E3" i="27"/>
  <c r="D5" i="26"/>
  <c r="C5" i="26"/>
  <c r="E4" i="26"/>
  <c r="E3" i="26"/>
  <c r="D5" i="25"/>
  <c r="C5" i="25"/>
  <c r="E4" i="25"/>
  <c r="E3" i="25"/>
  <c r="D5" i="24"/>
  <c r="C5" i="24"/>
  <c r="E4" i="24"/>
  <c r="E3" i="24"/>
  <c r="D5" i="23"/>
  <c r="C5" i="23"/>
  <c r="E4" i="23"/>
  <c r="E3" i="23"/>
  <c r="D5" i="22"/>
  <c r="C5" i="22"/>
  <c r="E4" i="22"/>
  <c r="E3" i="22"/>
  <c r="D5" i="21"/>
  <c r="C5" i="21"/>
  <c r="E4" i="21"/>
  <c r="E3" i="21"/>
  <c r="D5" i="20"/>
  <c r="C5" i="20"/>
  <c r="E4" i="20"/>
  <c r="E3" i="20"/>
  <c r="D5" i="19"/>
  <c r="C5" i="19"/>
  <c r="E4" i="19"/>
  <c r="E3" i="19"/>
  <c r="D5" i="18"/>
  <c r="C5" i="18"/>
  <c r="E4" i="18"/>
  <c r="E3" i="18"/>
  <c r="D5" i="17"/>
  <c r="C5" i="17"/>
  <c r="E4" i="17"/>
  <c r="E3" i="17"/>
  <c r="D5" i="16"/>
  <c r="C5" i="16"/>
  <c r="E4" i="16"/>
  <c r="E3" i="16"/>
  <c r="D5" i="15"/>
  <c r="C5" i="15"/>
  <c r="E4" i="15"/>
  <c r="E3" i="15"/>
  <c r="D5" i="14"/>
  <c r="C5" i="14"/>
  <c r="E4" i="14"/>
  <c r="E3" i="14"/>
  <c r="D5" i="13"/>
  <c r="C5" i="13"/>
  <c r="E4" i="13"/>
  <c r="E3" i="13"/>
  <c r="D5" i="12"/>
  <c r="C5" i="12"/>
  <c r="E4" i="12"/>
  <c r="E3" i="12"/>
  <c r="D5" i="11"/>
  <c r="C5" i="11"/>
  <c r="E4" i="11"/>
  <c r="E3" i="11"/>
  <c r="D5" i="10"/>
  <c r="C5" i="10"/>
  <c r="E4" i="10"/>
  <c r="E3" i="10"/>
  <c r="D5" i="9"/>
  <c r="C5" i="9"/>
  <c r="E4" i="9"/>
  <c r="E3" i="9"/>
  <c r="D5" i="8"/>
  <c r="C5" i="8"/>
  <c r="E4" i="8"/>
  <c r="E3" i="8"/>
  <c r="D5" i="7"/>
  <c r="C5" i="7"/>
  <c r="E4" i="7"/>
  <c r="E3" i="7"/>
  <c r="D5" i="6"/>
  <c r="C5" i="6"/>
  <c r="E4" i="6"/>
  <c r="E3" i="6"/>
  <c r="D5" i="5"/>
  <c r="C5" i="5"/>
  <c r="E4" i="5"/>
  <c r="E3" i="5"/>
  <c r="D5" i="4"/>
  <c r="C5" i="4"/>
  <c r="E4" i="4"/>
  <c r="C8" i="4" s="1"/>
  <c r="D8" i="4" s="1"/>
  <c r="E3" i="4"/>
  <c r="A8" i="4" s="1"/>
  <c r="B8" i="4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K28" i="1"/>
  <c r="K27" i="1"/>
  <c r="K26" i="1"/>
  <c r="K25" i="1"/>
  <c r="L25" i="1" s="1"/>
  <c r="K24" i="1"/>
  <c r="L24" i="1" s="1"/>
  <c r="K23" i="1"/>
  <c r="K22" i="1"/>
  <c r="K21" i="1"/>
  <c r="K20" i="1"/>
  <c r="K19" i="1"/>
  <c r="L19" i="1" s="1"/>
  <c r="K18" i="1"/>
  <c r="L18" i="1" s="1"/>
  <c r="K17" i="1"/>
  <c r="K16" i="1"/>
  <c r="L16" i="1" s="1"/>
  <c r="K15" i="1"/>
  <c r="L15" i="1" s="1"/>
  <c r="K14" i="1"/>
  <c r="L14" i="1" s="1"/>
  <c r="K13" i="1"/>
  <c r="L13" i="1" s="1"/>
  <c r="K12" i="1"/>
  <c r="K11" i="1"/>
  <c r="K10" i="1"/>
  <c r="K9" i="1"/>
  <c r="K8" i="1"/>
  <c r="K7" i="1"/>
  <c r="K6" i="1"/>
  <c r="K5" i="1"/>
  <c r="K4" i="1"/>
  <c r="L4" i="1" s="1"/>
  <c r="L2" i="1"/>
  <c r="L3" i="1"/>
  <c r="L5" i="1"/>
  <c r="L6" i="1"/>
  <c r="L7" i="1"/>
  <c r="L8" i="1"/>
  <c r="L9" i="1"/>
  <c r="L10" i="1"/>
  <c r="L11" i="1"/>
  <c r="L12" i="1"/>
  <c r="L17" i="1"/>
  <c r="L20" i="1"/>
  <c r="L21" i="1"/>
  <c r="L22" i="1"/>
  <c r="L23" i="1"/>
  <c r="L26" i="1"/>
  <c r="L27" i="1"/>
  <c r="L28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K3" i="1"/>
  <c r="J3" i="1"/>
  <c r="D5" i="3"/>
  <c r="C5" i="3"/>
  <c r="E4" i="3"/>
  <c r="E3" i="3"/>
  <c r="D5" i="2"/>
  <c r="C5" i="2"/>
  <c r="A8" i="2" s="1"/>
  <c r="B8" i="2" s="1"/>
  <c r="E4" i="2"/>
  <c r="C8" i="2" s="1"/>
  <c r="D8" i="2" s="1"/>
  <c r="E3" i="2"/>
  <c r="A11" i="2" s="1"/>
  <c r="B11" i="2" s="1"/>
  <c r="K2" i="1"/>
  <c r="J2" i="1"/>
  <c r="M2" i="1" s="1"/>
  <c r="D30" i="1"/>
  <c r="F41" i="28" l="1"/>
  <c r="D44" i="28" s="1"/>
  <c r="F41" i="27"/>
  <c r="D44" i="27" s="1"/>
  <c r="F41" i="26"/>
  <c r="B43" i="26" s="1"/>
  <c r="F41" i="22"/>
  <c r="B44" i="22"/>
  <c r="D44" i="22"/>
  <c r="F41" i="21"/>
  <c r="D43" i="21" s="1"/>
  <c r="F41" i="20"/>
  <c r="D43" i="20" s="1"/>
  <c r="D44" i="20"/>
  <c r="F41" i="25"/>
  <c r="D44" i="25" s="1"/>
  <c r="B44" i="24"/>
  <c r="D44" i="24"/>
  <c r="B43" i="24"/>
  <c r="D43" i="24"/>
  <c r="B44" i="23"/>
  <c r="D44" i="23"/>
  <c r="B43" i="23"/>
  <c r="D43" i="23"/>
  <c r="B43" i="22"/>
  <c r="D43" i="22"/>
  <c r="B44" i="20"/>
  <c r="F41" i="19"/>
  <c r="B44" i="19"/>
  <c r="D43" i="19"/>
  <c r="F41" i="18"/>
  <c r="D43" i="18" s="1"/>
  <c r="D44" i="17"/>
  <c r="D43" i="17"/>
  <c r="F41" i="16"/>
  <c r="D44" i="16" s="1"/>
  <c r="B44" i="13"/>
  <c r="F41" i="12"/>
  <c r="D44" i="12" s="1"/>
  <c r="D44" i="19"/>
  <c r="B43" i="19"/>
  <c r="B46" i="19" s="1"/>
  <c r="B43" i="17"/>
  <c r="B44" i="17"/>
  <c r="B44" i="15"/>
  <c r="D44" i="15"/>
  <c r="B43" i="15"/>
  <c r="D43" i="15"/>
  <c r="D44" i="14"/>
  <c r="B44" i="14"/>
  <c r="D43" i="14"/>
  <c r="B43" i="14"/>
  <c r="B43" i="13"/>
  <c r="D43" i="13"/>
  <c r="F41" i="11"/>
  <c r="B43" i="11" s="1"/>
  <c r="F41" i="10"/>
  <c r="D44" i="10" s="1"/>
  <c r="D44" i="9"/>
  <c r="B44" i="9"/>
  <c r="F41" i="8"/>
  <c r="B44" i="8" s="1"/>
  <c r="F41" i="7"/>
  <c r="B44" i="7"/>
  <c r="D44" i="7"/>
  <c r="B43" i="9"/>
  <c r="D43" i="9"/>
  <c r="B43" i="8"/>
  <c r="D43" i="8"/>
  <c r="B43" i="7"/>
  <c r="D43" i="7"/>
  <c r="F41" i="6"/>
  <c r="B43" i="6" s="1"/>
  <c r="B44" i="5"/>
  <c r="D44" i="5"/>
  <c r="B43" i="5"/>
  <c r="F41" i="4"/>
  <c r="D44" i="4" s="1"/>
  <c r="B44" i="4"/>
  <c r="F41" i="3"/>
  <c r="B44" i="3"/>
  <c r="D44" i="3"/>
  <c r="B43" i="3"/>
  <c r="D43" i="3"/>
  <c r="F41" i="2"/>
  <c r="F34" i="2"/>
  <c r="G34" i="2" s="1"/>
  <c r="AC10" i="3"/>
  <c r="AC11" i="3" s="1"/>
  <c r="AB11" i="3"/>
  <c r="AC4" i="3"/>
  <c r="AC5" i="3"/>
  <c r="F35" i="28"/>
  <c r="G35" i="28" s="1"/>
  <c r="F34" i="28"/>
  <c r="G34" i="28" s="1"/>
  <c r="F35" i="27"/>
  <c r="G35" i="27" s="1"/>
  <c r="F34" i="26"/>
  <c r="G34" i="26" s="1"/>
  <c r="F35" i="25"/>
  <c r="G35" i="25" s="1"/>
  <c r="F35" i="24"/>
  <c r="G35" i="24" s="1"/>
  <c r="F34" i="24"/>
  <c r="G34" i="24" s="1"/>
  <c r="F35" i="23"/>
  <c r="G35" i="23" s="1"/>
  <c r="F34" i="22"/>
  <c r="G34" i="22" s="1"/>
  <c r="F35" i="21"/>
  <c r="G35" i="21" s="1"/>
  <c r="F34" i="20"/>
  <c r="G34" i="20" s="1"/>
  <c r="F34" i="19"/>
  <c r="G34" i="19" s="1"/>
  <c r="F34" i="18"/>
  <c r="G34" i="18" s="1"/>
  <c r="F35" i="17"/>
  <c r="G35" i="17" s="1"/>
  <c r="F35" i="16"/>
  <c r="G35" i="16" s="1"/>
  <c r="F34" i="15"/>
  <c r="G34" i="15" s="1"/>
  <c r="F35" i="14"/>
  <c r="G35" i="14" s="1"/>
  <c r="F35" i="13"/>
  <c r="G35" i="13" s="1"/>
  <c r="F34" i="13"/>
  <c r="G34" i="13" s="1"/>
  <c r="F35" i="11"/>
  <c r="G35" i="11" s="1"/>
  <c r="F34" i="11"/>
  <c r="G34" i="11" s="1"/>
  <c r="F35" i="10"/>
  <c r="G35" i="10" s="1"/>
  <c r="F34" i="10"/>
  <c r="G34" i="10" s="1"/>
  <c r="F34" i="9"/>
  <c r="G34" i="9" s="1"/>
  <c r="F35" i="8"/>
  <c r="G35" i="8" s="1"/>
  <c r="F34" i="8"/>
  <c r="G34" i="8" s="1"/>
  <c r="F35" i="7"/>
  <c r="G35" i="7" s="1"/>
  <c r="F34" i="7"/>
  <c r="G34" i="7" s="1"/>
  <c r="F35" i="6"/>
  <c r="G35" i="6" s="1"/>
  <c r="R33" i="28"/>
  <c r="R21" i="28"/>
  <c r="R15" i="28"/>
  <c r="R23" i="27"/>
  <c r="R17" i="27"/>
  <c r="R17" i="26"/>
  <c r="R11" i="26"/>
  <c r="R5" i="26"/>
  <c r="R29" i="25"/>
  <c r="R23" i="25"/>
  <c r="R11" i="25"/>
  <c r="R5" i="25"/>
  <c r="R23" i="24"/>
  <c r="R17" i="23"/>
  <c r="R11" i="23"/>
  <c r="R11" i="22"/>
  <c r="R5" i="22"/>
  <c r="C30" i="28"/>
  <c r="C22" i="28"/>
  <c r="C29" i="28"/>
  <c r="C28" i="28"/>
  <c r="C24" i="28"/>
  <c r="C27" i="28"/>
  <c r="C26" i="28"/>
  <c r="C25" i="28"/>
  <c r="C23" i="28"/>
  <c r="C30" i="27"/>
  <c r="C22" i="27"/>
  <c r="C29" i="27"/>
  <c r="C28" i="27"/>
  <c r="C27" i="27"/>
  <c r="C25" i="27"/>
  <c r="C26" i="27"/>
  <c r="C24" i="27"/>
  <c r="C23" i="27"/>
  <c r="C30" i="26"/>
  <c r="C22" i="26"/>
  <c r="C29" i="26"/>
  <c r="C24" i="26"/>
  <c r="C28" i="26"/>
  <c r="C27" i="26"/>
  <c r="C25" i="26"/>
  <c r="C26" i="26"/>
  <c r="C23" i="26"/>
  <c r="C30" i="25"/>
  <c r="C22" i="25"/>
  <c r="C25" i="25"/>
  <c r="C29" i="25"/>
  <c r="C24" i="25"/>
  <c r="C28" i="25"/>
  <c r="C27" i="25"/>
  <c r="C26" i="25"/>
  <c r="C23" i="25"/>
  <c r="C23" i="24"/>
  <c r="C24" i="24"/>
  <c r="C25" i="24"/>
  <c r="C26" i="24"/>
  <c r="C27" i="24"/>
  <c r="C28" i="24"/>
  <c r="C29" i="24"/>
  <c r="C22" i="24"/>
  <c r="C30" i="23"/>
  <c r="C22" i="23"/>
  <c r="C29" i="23"/>
  <c r="C28" i="23"/>
  <c r="C27" i="23"/>
  <c r="C25" i="23"/>
  <c r="C26" i="23"/>
  <c r="C24" i="23"/>
  <c r="C23" i="23"/>
  <c r="C28" i="22"/>
  <c r="C27" i="22"/>
  <c r="C26" i="22"/>
  <c r="C25" i="22"/>
  <c r="C29" i="22"/>
  <c r="C24" i="22"/>
  <c r="C30" i="22"/>
  <c r="C23" i="22"/>
  <c r="C22" i="22"/>
  <c r="R21" i="20"/>
  <c r="R33" i="21"/>
  <c r="R27" i="21"/>
  <c r="R9" i="21"/>
  <c r="C30" i="21"/>
  <c r="C22" i="21"/>
  <c r="C29" i="21"/>
  <c r="C28" i="21"/>
  <c r="C23" i="21"/>
  <c r="C27" i="21"/>
  <c r="C26" i="21"/>
  <c r="C25" i="21"/>
  <c r="C24" i="21"/>
  <c r="R21" i="19"/>
  <c r="R9" i="19"/>
  <c r="R21" i="18"/>
  <c r="R9" i="18"/>
  <c r="C30" i="20"/>
  <c r="C22" i="20"/>
  <c r="C29" i="20"/>
  <c r="C28" i="20"/>
  <c r="C27" i="20"/>
  <c r="C26" i="20"/>
  <c r="C24" i="20"/>
  <c r="C25" i="20"/>
  <c r="C23" i="20"/>
  <c r="C30" i="19"/>
  <c r="C22" i="19"/>
  <c r="C24" i="19"/>
  <c r="C29" i="19"/>
  <c r="C28" i="19"/>
  <c r="C27" i="19"/>
  <c r="C26" i="19"/>
  <c r="C23" i="19"/>
  <c r="C25" i="19"/>
  <c r="C30" i="18"/>
  <c r="C25" i="18"/>
  <c r="C26" i="18"/>
  <c r="C27" i="18"/>
  <c r="C28" i="18"/>
  <c r="R23" i="17"/>
  <c r="R17" i="17"/>
  <c r="R11" i="17"/>
  <c r="C30" i="17"/>
  <c r="C22" i="17"/>
  <c r="C25" i="17"/>
  <c r="C29" i="17"/>
  <c r="C28" i="17"/>
  <c r="C27" i="17"/>
  <c r="C26" i="17"/>
  <c r="C24" i="17"/>
  <c r="C23" i="17"/>
  <c r="C30" i="16"/>
  <c r="C22" i="16"/>
  <c r="C29" i="16"/>
  <c r="C28" i="16"/>
  <c r="C27" i="16"/>
  <c r="C26" i="16"/>
  <c r="C25" i="16"/>
  <c r="C24" i="16"/>
  <c r="C23" i="16"/>
  <c r="R21" i="15"/>
  <c r="R15" i="15"/>
  <c r="R9" i="14"/>
  <c r="C30" i="15"/>
  <c r="C22" i="15"/>
  <c r="C29" i="15"/>
  <c r="C28" i="15"/>
  <c r="C27" i="15"/>
  <c r="C26" i="15"/>
  <c r="C25" i="15"/>
  <c r="C24" i="15"/>
  <c r="C23" i="15"/>
  <c r="C30" i="14"/>
  <c r="C22" i="14"/>
  <c r="C29" i="14"/>
  <c r="C28" i="14"/>
  <c r="C27" i="14"/>
  <c r="C26" i="14"/>
  <c r="C25" i="14"/>
  <c r="C24" i="14"/>
  <c r="C23" i="14"/>
  <c r="R17" i="13"/>
  <c r="C29" i="13"/>
  <c r="C22" i="13"/>
  <c r="C23" i="13"/>
  <c r="C24" i="13"/>
  <c r="C30" i="13"/>
  <c r="C25" i="13"/>
  <c r="C26" i="13"/>
  <c r="R11" i="12"/>
  <c r="C30" i="12"/>
  <c r="C22" i="12"/>
  <c r="C29" i="12"/>
  <c r="C28" i="12"/>
  <c r="C27" i="12"/>
  <c r="C26" i="12"/>
  <c r="C25" i="12"/>
  <c r="C23" i="12"/>
  <c r="C24" i="12"/>
  <c r="R33" i="11"/>
  <c r="R21" i="11"/>
  <c r="C30" i="11"/>
  <c r="C29" i="11"/>
  <c r="C28" i="11"/>
  <c r="C27" i="11"/>
  <c r="C26" i="11"/>
  <c r="C22" i="11"/>
  <c r="C25" i="11"/>
  <c r="C24" i="11"/>
  <c r="C23" i="11"/>
  <c r="C22" i="10"/>
  <c r="C30" i="10"/>
  <c r="C23" i="10"/>
  <c r="C24" i="10"/>
  <c r="C25" i="10"/>
  <c r="C26" i="10"/>
  <c r="C27" i="10"/>
  <c r="C28" i="10"/>
  <c r="R27" i="9"/>
  <c r="R21" i="9"/>
  <c r="C27" i="9"/>
  <c r="C26" i="9"/>
  <c r="C25" i="9"/>
  <c r="C29" i="9"/>
  <c r="C24" i="9"/>
  <c r="C30" i="9"/>
  <c r="C22" i="9"/>
  <c r="C23" i="9"/>
  <c r="C28" i="9"/>
  <c r="R29" i="8"/>
  <c r="R23" i="8"/>
  <c r="R5" i="8"/>
  <c r="C30" i="8"/>
  <c r="C29" i="8"/>
  <c r="C28" i="8"/>
  <c r="C26" i="8"/>
  <c r="C27" i="8"/>
  <c r="C25" i="8"/>
  <c r="C24" i="8"/>
  <c r="C23" i="8"/>
  <c r="C22" i="8"/>
  <c r="R23" i="7"/>
  <c r="R11" i="7"/>
  <c r="C28" i="7"/>
  <c r="C30" i="7"/>
  <c r="C23" i="7"/>
  <c r="C22" i="7"/>
  <c r="C24" i="7"/>
  <c r="C25" i="7"/>
  <c r="C26" i="7"/>
  <c r="C27" i="7"/>
  <c r="C29" i="7"/>
  <c r="R11" i="6"/>
  <c r="C27" i="6"/>
  <c r="C26" i="6"/>
  <c r="C29" i="6"/>
  <c r="C25" i="6"/>
  <c r="C24" i="6"/>
  <c r="C30" i="6"/>
  <c r="C23" i="6"/>
  <c r="C22" i="6"/>
  <c r="C28" i="6"/>
  <c r="C29" i="5"/>
  <c r="C22" i="5"/>
  <c r="C28" i="5"/>
  <c r="C27" i="5"/>
  <c r="C24" i="5"/>
  <c r="C23" i="5"/>
  <c r="C30" i="5"/>
  <c r="C26" i="5"/>
  <c r="C25" i="5"/>
  <c r="R11" i="4"/>
  <c r="R5" i="4"/>
  <c r="R29" i="3"/>
  <c r="R23" i="3"/>
  <c r="R17" i="3"/>
  <c r="C11" i="2"/>
  <c r="D11" i="2" s="1"/>
  <c r="R5" i="2"/>
  <c r="E5" i="2"/>
  <c r="R17" i="2"/>
  <c r="R11" i="2"/>
  <c r="E5" i="28"/>
  <c r="E5" i="27"/>
  <c r="E5" i="26"/>
  <c r="E5" i="25"/>
  <c r="E5" i="24"/>
  <c r="E5" i="23"/>
  <c r="E5" i="22"/>
  <c r="E5" i="21"/>
  <c r="E5" i="20"/>
  <c r="E5" i="19"/>
  <c r="E5" i="18"/>
  <c r="E5" i="17"/>
  <c r="E5" i="16"/>
  <c r="E5" i="15"/>
  <c r="E5" i="14"/>
  <c r="E5" i="13"/>
  <c r="E5" i="12"/>
  <c r="E5" i="11"/>
  <c r="E5" i="10"/>
  <c r="E5" i="9"/>
  <c r="E5" i="8"/>
  <c r="E5" i="7"/>
  <c r="E5" i="6"/>
  <c r="E5" i="5"/>
  <c r="E5" i="4"/>
  <c r="E5" i="3"/>
  <c r="D43" i="28" l="1"/>
  <c r="B43" i="28"/>
  <c r="B44" i="28"/>
  <c r="B43" i="27"/>
  <c r="D43" i="27"/>
  <c r="B44" i="27"/>
  <c r="D44" i="26"/>
  <c r="D43" i="26"/>
  <c r="B44" i="26"/>
  <c r="B46" i="28"/>
  <c r="B46" i="26"/>
  <c r="B43" i="25"/>
  <c r="B46" i="24"/>
  <c r="B46" i="22"/>
  <c r="D44" i="21"/>
  <c r="B43" i="21"/>
  <c r="B46" i="21" s="1"/>
  <c r="B44" i="21"/>
  <c r="B43" i="20"/>
  <c r="B46" i="20" s="1"/>
  <c r="D43" i="25"/>
  <c r="B44" i="25"/>
  <c r="B46" i="25" s="1"/>
  <c r="B46" i="23"/>
  <c r="B43" i="18"/>
  <c r="D44" i="18"/>
  <c r="B44" i="18"/>
  <c r="B46" i="18"/>
  <c r="B46" i="17"/>
  <c r="B43" i="16"/>
  <c r="B46" i="16" s="1"/>
  <c r="D43" i="16"/>
  <c r="B44" i="16"/>
  <c r="B46" i="14"/>
  <c r="B44" i="12"/>
  <c r="B43" i="12"/>
  <c r="B46" i="12" s="1"/>
  <c r="D43" i="12"/>
  <c r="B46" i="15"/>
  <c r="B46" i="13"/>
  <c r="D44" i="11"/>
  <c r="B44" i="11"/>
  <c r="D43" i="11"/>
  <c r="B46" i="11"/>
  <c r="B43" i="10"/>
  <c r="D43" i="10"/>
  <c r="B44" i="10"/>
  <c r="B46" i="10"/>
  <c r="B46" i="9"/>
  <c r="D44" i="8"/>
  <c r="B46" i="8" s="1"/>
  <c r="B46" i="5"/>
  <c r="B46" i="7"/>
  <c r="B44" i="6"/>
  <c r="D44" i="6"/>
  <c r="D43" i="6"/>
  <c r="B46" i="6" s="1"/>
  <c r="B43" i="4"/>
  <c r="D43" i="4"/>
  <c r="B46" i="4"/>
  <c r="B46" i="3"/>
  <c r="D44" i="2"/>
  <c r="B44" i="2"/>
  <c r="B43" i="2"/>
  <c r="B46" i="2" s="1"/>
  <c r="D43" i="2"/>
  <c r="C23" i="2"/>
  <c r="C30" i="2"/>
  <c r="C29" i="2"/>
  <c r="C28" i="2"/>
  <c r="C24" i="2"/>
  <c r="C27" i="2"/>
  <c r="C26" i="2"/>
  <c r="C25" i="2"/>
  <c r="C22" i="2"/>
  <c r="B46" i="27" l="1"/>
</calcChain>
</file>

<file path=xl/sharedStrings.xml><?xml version="1.0" encoding="utf-8"?>
<sst xmlns="http://schemas.openxmlformats.org/spreadsheetml/2006/main" count="2812" uniqueCount="136">
  <si>
    <t>dátum</t>
  </si>
  <si>
    <t>súper</t>
  </si>
  <si>
    <t>1. set</t>
  </si>
  <si>
    <t>2. set</t>
  </si>
  <si>
    <t>3. set</t>
  </si>
  <si>
    <t>4. set</t>
  </si>
  <si>
    <t>5. set</t>
  </si>
  <si>
    <t>prvé číslo Ucla</t>
  </si>
  <si>
    <t>Ohio State</t>
  </si>
  <si>
    <t>25-18</t>
  </si>
  <si>
    <t>25-15</t>
  </si>
  <si>
    <t>23-25</t>
  </si>
  <si>
    <t>výsledok</t>
  </si>
  <si>
    <t>3-2</t>
  </si>
  <si>
    <t>Princeton</t>
  </si>
  <si>
    <t>25-22</t>
  </si>
  <si>
    <t>nebol</t>
  </si>
  <si>
    <t>3-0</t>
  </si>
  <si>
    <t>Penn State</t>
  </si>
  <si>
    <t>17-25</t>
  </si>
  <si>
    <t>28-26</t>
  </si>
  <si>
    <t>25-19</t>
  </si>
  <si>
    <t>3-1</t>
  </si>
  <si>
    <t>CSUN</t>
  </si>
  <si>
    <t>27-25</t>
  </si>
  <si>
    <t>zápas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</si>
  <si>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</si>
  <si>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</si>
  <si>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</si>
  <si>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</si>
  <si>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</si>
  <si>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</si>
  <si>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</si>
  <si>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</si>
  <si>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</si>
  <si>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</si>
  <si>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</si>
  <si>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LEWIS</t>
  </si>
  <si>
    <t>21-25</t>
  </si>
  <si>
    <t>20-25</t>
  </si>
  <si>
    <t>0-3</t>
  </si>
  <si>
    <t>UC Irvine</t>
  </si>
  <si>
    <t>25-21</t>
  </si>
  <si>
    <t>22-25</t>
  </si>
  <si>
    <t>25-14</t>
  </si>
  <si>
    <t>26-24</t>
  </si>
  <si>
    <t>25-23</t>
  </si>
  <si>
    <t>16-25</t>
  </si>
  <si>
    <t>UC San Diego</t>
  </si>
  <si>
    <t>25-16</t>
  </si>
  <si>
    <t>Long Beach State</t>
  </si>
  <si>
    <t>13-25</t>
  </si>
  <si>
    <t>25-20</t>
  </si>
  <si>
    <t>CUI</t>
  </si>
  <si>
    <t>25-13</t>
  </si>
  <si>
    <t>Grand Canyon</t>
  </si>
  <si>
    <t>Stanford</t>
  </si>
  <si>
    <t>18-25</t>
  </si>
  <si>
    <t>2-3</t>
  </si>
  <si>
    <t>Morehouse</t>
  </si>
  <si>
    <t>Fort Valley State</t>
  </si>
  <si>
    <t>25-8</t>
  </si>
  <si>
    <t>25-9</t>
  </si>
  <si>
    <t>25-5</t>
  </si>
  <si>
    <t>15-8</t>
  </si>
  <si>
    <t>15-11</t>
  </si>
  <si>
    <t>15-12</t>
  </si>
  <si>
    <t>12-15</t>
  </si>
  <si>
    <t>25-10</t>
  </si>
  <si>
    <t>25-11</t>
  </si>
  <si>
    <t>Southern California</t>
  </si>
  <si>
    <t>25-17</t>
  </si>
  <si>
    <t>25-12</t>
  </si>
  <si>
    <t>Pepperdine</t>
  </si>
  <si>
    <t>30-28</t>
  </si>
  <si>
    <t>BYU</t>
  </si>
  <si>
    <t>26-28</t>
  </si>
  <si>
    <t>15-9</t>
  </si>
  <si>
    <t>11-15</t>
  </si>
  <si>
    <t>15-25</t>
  </si>
  <si>
    <t>14-16</t>
  </si>
  <si>
    <t>zápasov</t>
  </si>
  <si>
    <t>setov</t>
  </si>
  <si>
    <t>p_A</t>
  </si>
  <si>
    <t>1-p_A</t>
  </si>
  <si>
    <t>p_B</t>
  </si>
  <si>
    <t>1-p_B</t>
  </si>
  <si>
    <t>UCLA</t>
  </si>
  <si>
    <t>Spolu</t>
  </si>
  <si>
    <t>Servisuje</t>
  </si>
  <si>
    <t>Body</t>
  </si>
  <si>
    <t>spolu body UCLA</t>
  </si>
  <si>
    <t>spolu body súper</t>
  </si>
  <si>
    <t>spolu</t>
  </si>
  <si>
    <t>10-25</t>
  </si>
  <si>
    <t>víťaz</t>
  </si>
  <si>
    <t>prehry</t>
  </si>
  <si>
    <t>výhry - zbytok</t>
  </si>
  <si>
    <t>Lewis</t>
  </si>
  <si>
    <t xml:space="preserve">na stranke je chyba v prvom sete </t>
  </si>
  <si>
    <t xml:space="preserve">ale uz je to opravene </t>
  </si>
  <si>
    <t>More House</t>
  </si>
  <si>
    <t>Dĺžka šnúr</t>
  </si>
  <si>
    <t>9+</t>
  </si>
  <si>
    <t>Skutočný p.</t>
  </si>
  <si>
    <t>Očakávaný počet na 1000 zápasov</t>
  </si>
  <si>
    <t>pravdepodobnosť získania bodu</t>
  </si>
  <si>
    <t>pravdepodobnosť získania podania</t>
  </si>
  <si>
    <t>E(R_l^A)=N_A(1-p_B)p_A^(l-1)</t>
  </si>
  <si>
    <t>E(R_l^B)=N_B(1-p_A)p_B^(l-1)</t>
  </si>
  <si>
    <t>E(R_l^A)+E(R_l^B)</t>
  </si>
  <si>
    <t>l je dĺžka šnúry</t>
  </si>
  <si>
    <t>N_A celkový počet bodov</t>
  </si>
  <si>
    <t>1.set</t>
  </si>
  <si>
    <t>2.set</t>
  </si>
  <si>
    <t>3.set</t>
  </si>
  <si>
    <t>Pravdepodobnosti získania bodu ak podávajú</t>
  </si>
  <si>
    <t>4.set</t>
  </si>
  <si>
    <t>5.set</t>
  </si>
  <si>
    <t>LBS</t>
  </si>
  <si>
    <t>UC SD</t>
  </si>
  <si>
    <t>GC</t>
  </si>
  <si>
    <t>MH</t>
  </si>
  <si>
    <t>FVS</t>
  </si>
  <si>
    <t>SC</t>
  </si>
  <si>
    <t>-</t>
  </si>
  <si>
    <t>Skutočný počet UCLA</t>
  </si>
  <si>
    <t>Skutočný počet súper</t>
  </si>
  <si>
    <t>Pomer</t>
  </si>
  <si>
    <t>Percentá</t>
  </si>
  <si>
    <t>Počet ukončených hier</t>
  </si>
  <si>
    <t>Počet možností na ukončenie hier</t>
  </si>
  <si>
    <t>Očakávané body</t>
  </si>
  <si>
    <t>g=</t>
  </si>
  <si>
    <t>Očakávaný počet hier</t>
  </si>
  <si>
    <t>p-hodnota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</si>
</sst>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0" fillId="2" borderId="0" xfId="0" applyFill="1"/>
    <xf numFmtId="49" fontId="0" fillId="2" borderId="2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/>
    <xf numFmtId="0" fontId="0" fillId="0" borderId="0" xfId="0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64" fontId="0" fillId="2" borderId="0" xfId="0" applyNumberFormat="1" applyFill="1"/>
    <xf numFmtId="0" fontId="0" fillId="0" borderId="1" xfId="0" applyBorder="1"/>
    <xf numFmtId="164" fontId="0" fillId="0" borderId="1" xfId="0" applyNumberFormat="1" applyBorder="1"/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49" fontId="0" fillId="0" borderId="0" xfId="0" applyNumberFormat="1" applyAlignment="1">
      <alignment vertical="center" wrapText="1"/>
    </xf>
    <xf numFmtId="2" fontId="0" fillId="0" borderId="1" xfId="0" applyNumberFormat="1" applyBorder="1"/>
    <xf numFmtId="0" fontId="0" fillId="0" borderId="4" xfId="0" applyBorder="1" applyAlignment="1">
      <alignment horizontal="center" vertical="center" wrapText="1"/>
    </xf>
    <xf numFmtId="0" fontId="0" fillId="0" borderId="11" xfId="0" applyBorder="1"/>
    <xf numFmtId="2" fontId="0" fillId="0" borderId="1" xfId="1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1" fontId="0" fillId="0" borderId="0" xfId="0" applyNumberFormat="1" applyFill="1" applyAlignment="1">
      <alignment horizontal="center" vertical="center"/>
    </xf>
    <xf numFmtId="0" fontId="0" fillId="0" borderId="0" xfId="0" applyFill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4" borderId="0" xfId="0" applyFill="1" applyBorder="1"/>
    <xf numFmtId="2" fontId="0" fillId="0" borderId="0" xfId="0" applyNumberFormat="1" applyFill="1" applyAlignment="1"/>
    <xf numFmtId="0" fontId="0" fillId="0" borderId="0" xfId="0" applyFill="1" applyAlignment="1">
      <alignment vertical="center" wrapText="1"/>
    </xf>
    <xf numFmtId="1" fontId="0" fillId="0" borderId="1" xfId="0" applyNumberFormat="1" applyFill="1" applyBorder="1" applyAlignment="1">
      <alignment horizontal="center"/>
    </xf>
    <xf numFmtId="1" fontId="0" fillId="0" borderId="0" xfId="0" applyNumberFormat="1" applyFill="1" applyAlignment="1">
      <alignment vertical="center"/>
    </xf>
    <xf numFmtId="1" fontId="0" fillId="0" borderId="0" xfId="0" applyNumberFormat="1" applyFill="1" applyAlignment="1"/>
    <xf numFmtId="0" fontId="0" fillId="0" borderId="1" xfId="0" applyFill="1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4" borderId="0" xfId="0" applyFill="1" applyBorder="1" applyAlignment="1"/>
    <xf numFmtId="0" fontId="0" fillId="0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3">
    <cellStyle name="Čiarka" xfId="1" builtinId="3"/>
    <cellStyle name="Normálna" xfId="0" builtinId="0"/>
    <cellStyle name="Percentá" xfId="2" builtinId="5"/>
  </cellStyles>
  <dxfs count="21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0.000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64" formatCode="0.00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1E644-2885-4267-9EC5-3952EB89DE8A}" name="Tabuľka1" displayName="Tabuľka1" ref="A1:Q28" totalsRowShown="0" headerRowDxfId="217" headerRowBorderDxfId="216" tableBorderDxfId="215" totalsRowBorderDxfId="214">
  <autoFilter ref="A1:Q28" xr:uid="{7391E644-2885-4267-9EC5-3952EB89DE8A}"/>
  <tableColumns count="17">
    <tableColumn id="1" xr3:uid="{A787380D-80A5-4E76-AD51-2F25459B12D8}" name="zápas" dataDxfId="213"/>
    <tableColumn id="2" xr3:uid="{355BC45B-67FA-4FD1-A2BC-01DCAFC1C2D2}" name="dátum" dataDxfId="212"/>
    <tableColumn id="3" xr3:uid="{6D524877-69F1-4E21-9233-4BAFFC00BD76}" name="súper" dataDxfId="211"/>
    <tableColumn id="4" xr3:uid="{FACA81CC-14DE-4D11-A917-10FBE0F35E2A}" name="1. set" dataDxfId="210"/>
    <tableColumn id="5" xr3:uid="{6A7F60FE-C55E-42BC-A50A-C4EAE11B9CE0}" name="2. set" dataDxfId="209"/>
    <tableColumn id="6" xr3:uid="{170C2D54-6D19-4E40-A59D-A4795B36C322}" name="3. set" dataDxfId="208"/>
    <tableColumn id="7" xr3:uid="{AC867577-CFDA-4F38-920B-98593896F33A}" name="4. set" dataDxfId="207"/>
    <tableColumn id="8" xr3:uid="{5830D4B5-C0BB-4BD0-87A7-3277A520882D}" name="5. set" dataDxfId="206"/>
    <tableColumn id="9" xr3:uid="{18E88E81-536F-40EE-8EB2-C20A95A2E9D1}" name="výsledok" dataDxfId="205"/>
    <tableColumn id="10" xr3:uid="{66E87A2C-6D9B-4274-A84C-2111F731ADBE}" name="spolu body UCLA" dataDxfId="204"/>
    <tableColumn id="11" xr3:uid="{AF2EAD92-1BB9-405D-A2C4-48ADE2CF746F}" name="spolu body súper" dataDxfId="203"/>
    <tableColumn id="18" xr3:uid="{A41D34A3-DBD3-4E46-B38D-559A87E401D6}" name="víťaz" dataDxfId="202">
      <calculatedColumnFormula>Tabuľka1[[#This Row],[spolu body UCLA]]-Tabuľka1[[#This Row],[spolu body súper]]</calculatedColumnFormula>
    </tableColumn>
    <tableColumn id="12" xr3:uid="{D3BDF35D-B59A-415D-BCE1-19C4318B3AFB}" name="spolu" dataDxfId="201">
      <calculatedColumnFormula>J2+K2</calculatedColumnFormula>
    </tableColumn>
    <tableColumn id="13" xr3:uid="{F0AD202F-C3B2-45DD-9059-EBC7DFEDC68A}" name="p_A" dataDxfId="200"/>
    <tableColumn id="14" xr3:uid="{4FD57AEC-9ACC-49BD-846A-600C12831602}" name="1-p_A" dataDxfId="199"/>
    <tableColumn id="15" xr3:uid="{AFB20F2D-DD86-4773-9663-56283F855BE9}" name="p_B" dataDxfId="198"/>
    <tableColumn id="16" xr3:uid="{09A352F2-9F89-4491-B809-B8D9FAB184D5}" name="1-p_B" dataDxfId="197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1C1A-89E1-4901-AD20-14CA9F5F3A51}">
  <dimension ref="A1:Q34"/>
  <sheetViews>
    <sheetView topLeftCell="A4" workbookViewId="0">
      <selection activeCell="A27" sqref="A27"/>
    </sheetView>
  </sheetViews>
  <sheetFormatPr defaultRowHeight="14.4" x14ac:dyDescent="0.3"/>
  <cols>
    <col min="1" max="1" width="8.88671875" style="1"/>
    <col min="2" max="2" width="12.5546875" style="2" customWidth="1"/>
    <col min="3" max="3" width="15.77734375" style="19" customWidth="1"/>
    <col min="4" max="8" width="12.77734375" style="1" customWidth="1"/>
    <col min="9" max="9" width="13.6640625" style="4" customWidth="1"/>
    <col min="10" max="11" width="16.5546875" style="6" customWidth="1"/>
    <col min="12" max="12" width="13.6640625" style="6" customWidth="1"/>
    <col min="14" max="17" width="8.88671875" style="8"/>
  </cols>
  <sheetData>
    <row r="1" spans="1:17" s="3" customFormat="1" x14ac:dyDescent="0.3">
      <c r="A1" s="13" t="s">
        <v>25</v>
      </c>
      <c r="B1" s="14" t="s">
        <v>0</v>
      </c>
      <c r="C1" s="17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12</v>
      </c>
      <c r="J1" s="16" t="s">
        <v>91</v>
      </c>
      <c r="K1" s="16" t="s">
        <v>92</v>
      </c>
      <c r="L1" s="16" t="s">
        <v>95</v>
      </c>
      <c r="M1" s="15" t="s">
        <v>93</v>
      </c>
      <c r="N1" s="35" t="s">
        <v>83</v>
      </c>
      <c r="O1" s="35" t="s">
        <v>84</v>
      </c>
      <c r="P1" s="35" t="s">
        <v>85</v>
      </c>
      <c r="Q1" s="36" t="s">
        <v>86</v>
      </c>
    </row>
    <row r="2" spans="1:17" s="3" customFormat="1" x14ac:dyDescent="0.3">
      <c r="A2" s="12">
        <v>1</v>
      </c>
      <c r="B2" s="10">
        <v>44576</v>
      </c>
      <c r="C2" s="18" t="s">
        <v>14</v>
      </c>
      <c r="D2" s="9" t="s">
        <v>72</v>
      </c>
      <c r="E2" s="9" t="s">
        <v>15</v>
      </c>
      <c r="F2" s="9" t="s">
        <v>15</v>
      </c>
      <c r="G2" s="9" t="s">
        <v>16</v>
      </c>
      <c r="H2" s="9" t="s">
        <v>16</v>
      </c>
      <c r="I2" s="9" t="s">
        <v>17</v>
      </c>
      <c r="J2" s="11">
        <f>25+25+25</f>
        <v>75</v>
      </c>
      <c r="K2" s="7">
        <f>12+22+22</f>
        <v>56</v>
      </c>
      <c r="L2" s="7">
        <f>Tabuľka1[[#This Row],[spolu body UCLA]]-Tabuľka1[[#This Row],[spolu body súper]]</f>
        <v>19</v>
      </c>
      <c r="M2" s="7">
        <f>J2+K2</f>
        <v>131</v>
      </c>
      <c r="N2" s="8">
        <v>0.48</v>
      </c>
      <c r="O2" s="8">
        <v>0.52</v>
      </c>
      <c r="P2" s="8">
        <v>0.32758620689655171</v>
      </c>
      <c r="Q2" s="8">
        <v>0.67241379310344829</v>
      </c>
    </row>
    <row r="3" spans="1:17" s="3" customFormat="1" x14ac:dyDescent="0.3">
      <c r="A3" s="12" t="s">
        <v>26</v>
      </c>
      <c r="B3" s="10">
        <v>44582</v>
      </c>
      <c r="C3" s="18" t="s">
        <v>8</v>
      </c>
      <c r="D3" s="9" t="s">
        <v>9</v>
      </c>
      <c r="E3" s="9" t="s">
        <v>10</v>
      </c>
      <c r="F3" s="9" t="s">
        <v>11</v>
      </c>
      <c r="G3" s="9" t="s">
        <v>11</v>
      </c>
      <c r="H3" s="9" t="s">
        <v>64</v>
      </c>
      <c r="I3" s="9" t="s">
        <v>13</v>
      </c>
      <c r="J3" s="7">
        <f>25+25+23+23+15</f>
        <v>111</v>
      </c>
      <c r="K3" s="7">
        <f>18+15+25+25+8</f>
        <v>91</v>
      </c>
      <c r="L3" s="7">
        <f>Tabuľka1[[#This Row],[spolu body UCLA]]-Tabuľka1[[#This Row],[spolu body súper]]</f>
        <v>20</v>
      </c>
      <c r="M3" s="7">
        <f t="shared" ref="M3:M28" si="0">J3+K3</f>
        <v>202</v>
      </c>
      <c r="N3" s="8">
        <v>0.35135135135135137</v>
      </c>
      <c r="O3" s="8">
        <v>0.64864864864864868</v>
      </c>
      <c r="P3" s="8">
        <v>0.21739130434782608</v>
      </c>
      <c r="Q3" s="8">
        <v>0.78260869565217395</v>
      </c>
    </row>
    <row r="4" spans="1:17" s="3" customFormat="1" x14ac:dyDescent="0.3">
      <c r="A4" s="12" t="s">
        <v>27</v>
      </c>
      <c r="B4" s="10">
        <v>44583</v>
      </c>
      <c r="C4" s="18" t="s">
        <v>18</v>
      </c>
      <c r="D4" s="9" t="s">
        <v>19</v>
      </c>
      <c r="E4" s="9" t="s">
        <v>20</v>
      </c>
      <c r="F4" s="9" t="s">
        <v>15</v>
      </c>
      <c r="G4" s="9" t="s">
        <v>21</v>
      </c>
      <c r="H4" s="9" t="s">
        <v>16</v>
      </c>
      <c r="I4" s="9" t="s">
        <v>22</v>
      </c>
      <c r="J4" s="7">
        <f>17+28+25+25</f>
        <v>95</v>
      </c>
      <c r="K4" s="7">
        <f>25+26+22+19</f>
        <v>92</v>
      </c>
      <c r="L4" s="7">
        <f>Tabuľka1[[#This Row],[spolu body UCLA]]-Tabuľka1[[#This Row],[spolu body súper]]</f>
        <v>3</v>
      </c>
      <c r="M4" s="7">
        <f t="shared" si="0"/>
        <v>187</v>
      </c>
      <c r="N4" s="8">
        <v>0.34042553191489361</v>
      </c>
      <c r="O4" s="8">
        <v>0.65957446808510634</v>
      </c>
      <c r="P4" s="8">
        <v>0.32258064516129031</v>
      </c>
      <c r="Q4" s="8">
        <v>0.67741935483870974</v>
      </c>
    </row>
    <row r="5" spans="1:17" s="3" customFormat="1" x14ac:dyDescent="0.3">
      <c r="A5" s="12" t="s">
        <v>28</v>
      </c>
      <c r="B5" s="10">
        <v>44588</v>
      </c>
      <c r="C5" s="18" t="s">
        <v>23</v>
      </c>
      <c r="D5" s="9" t="s">
        <v>24</v>
      </c>
      <c r="E5" s="9" t="s">
        <v>9</v>
      </c>
      <c r="F5" s="9" t="s">
        <v>15</v>
      </c>
      <c r="G5" s="9" t="s">
        <v>16</v>
      </c>
      <c r="H5" s="9" t="s">
        <v>16</v>
      </c>
      <c r="I5" s="9" t="s">
        <v>17</v>
      </c>
      <c r="J5" s="7">
        <f>27+25+25</f>
        <v>77</v>
      </c>
      <c r="K5" s="7">
        <f>25+18+22</f>
        <v>65</v>
      </c>
      <c r="L5" s="7">
        <f>Tabuľka1[[#This Row],[spolu body UCLA]]-Tabuľka1[[#This Row],[spolu body súper]]</f>
        <v>12</v>
      </c>
      <c r="M5" s="7">
        <f t="shared" si="0"/>
        <v>142</v>
      </c>
      <c r="N5" s="8">
        <v>0.41558441558441561</v>
      </c>
      <c r="O5" s="8">
        <v>0.58441558441558439</v>
      </c>
      <c r="P5" s="8">
        <v>0.32835820895522388</v>
      </c>
      <c r="Q5" s="8">
        <v>0.67164179104477606</v>
      </c>
    </row>
    <row r="6" spans="1:17" s="33" customFormat="1" x14ac:dyDescent="0.3">
      <c r="A6" s="28" t="s">
        <v>29</v>
      </c>
      <c r="B6" s="29">
        <v>44590</v>
      </c>
      <c r="C6" s="30" t="s">
        <v>37</v>
      </c>
      <c r="D6" s="31" t="s">
        <v>38</v>
      </c>
      <c r="E6" s="31" t="s">
        <v>39</v>
      </c>
      <c r="F6" s="31" t="s">
        <v>11</v>
      </c>
      <c r="G6" s="31" t="s">
        <v>16</v>
      </c>
      <c r="H6" s="31" t="s">
        <v>16</v>
      </c>
      <c r="I6" s="31" t="s">
        <v>40</v>
      </c>
      <c r="J6" s="32">
        <f>21+20+23</f>
        <v>64</v>
      </c>
      <c r="K6" s="32">
        <f>25+25+25</f>
        <v>75</v>
      </c>
      <c r="L6" s="32">
        <f>Tabuľka1[[#This Row],[spolu body UCLA]]-Tabuľka1[[#This Row],[spolu body súper]]</f>
        <v>-11</v>
      </c>
      <c r="M6" s="32">
        <f t="shared" si="0"/>
        <v>139</v>
      </c>
      <c r="N6" s="39">
        <v>0.296875</v>
      </c>
      <c r="O6" s="39">
        <v>0.703125</v>
      </c>
      <c r="P6" s="39">
        <v>0.38356164383561642</v>
      </c>
      <c r="Q6" s="39">
        <v>0.61643835616438358</v>
      </c>
    </row>
    <row r="7" spans="1:17" s="3" customFormat="1" x14ac:dyDescent="0.3">
      <c r="A7" s="12" t="s">
        <v>30</v>
      </c>
      <c r="B7" s="10">
        <v>44596</v>
      </c>
      <c r="C7" s="18" t="s">
        <v>41</v>
      </c>
      <c r="D7" s="9" t="s">
        <v>38</v>
      </c>
      <c r="E7" s="9" t="s">
        <v>44</v>
      </c>
      <c r="F7" s="9" t="s">
        <v>15</v>
      </c>
      <c r="G7" s="9" t="s">
        <v>45</v>
      </c>
      <c r="H7" s="9" t="s">
        <v>16</v>
      </c>
      <c r="I7" s="9" t="s">
        <v>22</v>
      </c>
      <c r="J7" s="7">
        <f>21+25+25+26</f>
        <v>97</v>
      </c>
      <c r="K7" s="7">
        <f>25+14+22+24</f>
        <v>85</v>
      </c>
      <c r="L7" s="7">
        <f>Tabuľka1[[#This Row],[spolu body UCLA]]-Tabuľka1[[#This Row],[spolu body súper]]</f>
        <v>12</v>
      </c>
      <c r="M7" s="7">
        <f t="shared" si="0"/>
        <v>182</v>
      </c>
      <c r="N7" s="8">
        <v>0.39175257731958762</v>
      </c>
      <c r="O7" s="8">
        <v>0.60824742268041243</v>
      </c>
      <c r="P7" s="8">
        <v>0.31395348837209303</v>
      </c>
      <c r="Q7" s="8">
        <v>0.68604651162790697</v>
      </c>
    </row>
    <row r="8" spans="1:17" s="3" customFormat="1" x14ac:dyDescent="0.3">
      <c r="A8" s="12" t="s">
        <v>31</v>
      </c>
      <c r="B8" s="10">
        <v>44597</v>
      </c>
      <c r="C8" s="18" t="s">
        <v>41</v>
      </c>
      <c r="D8" s="9" t="s">
        <v>46</v>
      </c>
      <c r="E8" s="9" t="s">
        <v>11</v>
      </c>
      <c r="F8" s="9" t="s">
        <v>44</v>
      </c>
      <c r="G8" s="9" t="s">
        <v>47</v>
      </c>
      <c r="H8" s="9" t="s">
        <v>65</v>
      </c>
      <c r="I8" s="9" t="s">
        <v>13</v>
      </c>
      <c r="J8" s="7">
        <f>25+23+25+16+15</f>
        <v>104</v>
      </c>
      <c r="K8" s="7">
        <f>23+25+14+25+11</f>
        <v>98</v>
      </c>
      <c r="L8" s="7">
        <f>Tabuľka1[[#This Row],[spolu body UCLA]]-Tabuľka1[[#This Row],[spolu body súper]]</f>
        <v>6</v>
      </c>
      <c r="M8" s="7">
        <f t="shared" si="0"/>
        <v>202</v>
      </c>
      <c r="N8" s="8">
        <v>0.36538461538461536</v>
      </c>
      <c r="O8" s="8">
        <v>0.63461538461538458</v>
      </c>
      <c r="P8" s="8">
        <v>0.33333333333333331</v>
      </c>
      <c r="Q8" s="8">
        <v>0.66666666666666674</v>
      </c>
    </row>
    <row r="9" spans="1:17" s="3" customFormat="1" x14ac:dyDescent="0.3">
      <c r="A9" s="12" t="s">
        <v>32</v>
      </c>
      <c r="B9" s="10">
        <v>44601</v>
      </c>
      <c r="C9" s="18" t="s">
        <v>48</v>
      </c>
      <c r="D9" s="9" t="s">
        <v>43</v>
      </c>
      <c r="E9" s="9" t="s">
        <v>9</v>
      </c>
      <c r="F9" s="9" t="s">
        <v>46</v>
      </c>
      <c r="G9" s="9" t="s">
        <v>49</v>
      </c>
      <c r="H9" s="9" t="s">
        <v>16</v>
      </c>
      <c r="I9" s="9" t="s">
        <v>22</v>
      </c>
      <c r="J9" s="7">
        <f>22+25+25+25</f>
        <v>97</v>
      </c>
      <c r="K9" s="7">
        <f>25+18+23+16</f>
        <v>82</v>
      </c>
      <c r="L9" s="7">
        <f>Tabuľka1[[#This Row],[spolu body UCLA]]-Tabuľka1[[#This Row],[spolu body súper]]</f>
        <v>15</v>
      </c>
      <c r="M9" s="7">
        <f t="shared" si="0"/>
        <v>179</v>
      </c>
      <c r="N9" s="8">
        <v>0.41237113402061853</v>
      </c>
      <c r="O9" s="8">
        <v>0.58762886597938147</v>
      </c>
      <c r="P9" s="8">
        <v>0.31325301204819278</v>
      </c>
      <c r="Q9" s="8">
        <v>0.68674698795180722</v>
      </c>
    </row>
    <row r="10" spans="1:17" s="33" customFormat="1" x14ac:dyDescent="0.3">
      <c r="A10" s="28" t="s">
        <v>33</v>
      </c>
      <c r="B10" s="29">
        <v>44603</v>
      </c>
      <c r="C10" s="30" t="s">
        <v>50</v>
      </c>
      <c r="D10" s="31" t="s">
        <v>43</v>
      </c>
      <c r="E10" s="31" t="s">
        <v>11</v>
      </c>
      <c r="F10" s="31" t="s">
        <v>51</v>
      </c>
      <c r="G10" s="31" t="s">
        <v>16</v>
      </c>
      <c r="H10" s="31" t="s">
        <v>16</v>
      </c>
      <c r="I10" s="31" t="s">
        <v>40</v>
      </c>
      <c r="J10" s="32">
        <f>22+23+13</f>
        <v>58</v>
      </c>
      <c r="K10" s="32">
        <f>25+25+25</f>
        <v>75</v>
      </c>
      <c r="L10" s="32">
        <f>Tabuľka1[[#This Row],[spolu body UCLA]]-Tabuľka1[[#This Row],[spolu body súper]]</f>
        <v>-17</v>
      </c>
      <c r="M10" s="32">
        <f t="shared" si="0"/>
        <v>133</v>
      </c>
      <c r="N10" s="39">
        <v>0.2413793103448276</v>
      </c>
      <c r="O10" s="39">
        <v>0.75862068965517238</v>
      </c>
      <c r="P10" s="39">
        <v>0.39726027397260272</v>
      </c>
      <c r="Q10" s="39">
        <v>0.60273972602739723</v>
      </c>
    </row>
    <row r="11" spans="1:17" s="3" customFormat="1" x14ac:dyDescent="0.3">
      <c r="A11" s="12" t="s">
        <v>34</v>
      </c>
      <c r="B11" s="10">
        <v>44611</v>
      </c>
      <c r="C11" s="18" t="s">
        <v>50</v>
      </c>
      <c r="D11" s="9" t="s">
        <v>52</v>
      </c>
      <c r="E11" s="9" t="s">
        <v>46</v>
      </c>
      <c r="F11" s="9" t="s">
        <v>11</v>
      </c>
      <c r="G11" s="9" t="s">
        <v>38</v>
      </c>
      <c r="H11" s="9" t="s">
        <v>66</v>
      </c>
      <c r="I11" s="9" t="s">
        <v>13</v>
      </c>
      <c r="J11" s="7">
        <f>25+25+23+21+15</f>
        <v>109</v>
      </c>
      <c r="K11" s="7">
        <f>20+23+25+25+12</f>
        <v>105</v>
      </c>
      <c r="L11" s="7">
        <f>Tabuľka1[[#This Row],[spolu body UCLA]]-Tabuľka1[[#This Row],[spolu body súper]]</f>
        <v>4</v>
      </c>
      <c r="M11" s="7">
        <f t="shared" si="0"/>
        <v>214</v>
      </c>
      <c r="N11" s="8">
        <v>0.37614678899082571</v>
      </c>
      <c r="O11" s="8">
        <v>0.62385321100917435</v>
      </c>
      <c r="P11" s="8">
        <v>0.35238095238095241</v>
      </c>
      <c r="Q11" s="8">
        <v>0.64761904761904754</v>
      </c>
    </row>
    <row r="12" spans="1:17" s="3" customFormat="1" x14ac:dyDescent="0.3">
      <c r="A12" s="12" t="s">
        <v>35</v>
      </c>
      <c r="B12" s="10">
        <v>44615</v>
      </c>
      <c r="C12" s="18" t="s">
        <v>53</v>
      </c>
      <c r="D12" s="9" t="s">
        <v>42</v>
      </c>
      <c r="E12" s="9" t="s">
        <v>49</v>
      </c>
      <c r="F12" s="9" t="s">
        <v>39</v>
      </c>
      <c r="G12" s="9" t="s">
        <v>9</v>
      </c>
      <c r="H12" s="9" t="s">
        <v>16</v>
      </c>
      <c r="I12" s="9" t="s">
        <v>22</v>
      </c>
      <c r="J12" s="7">
        <f>25+25+20+25</f>
        <v>95</v>
      </c>
      <c r="K12" s="7">
        <f>21+16+25+18</f>
        <v>80</v>
      </c>
      <c r="L12" s="7">
        <f>Tabuľka1[[#This Row],[spolu body UCLA]]-Tabuľka1[[#This Row],[spolu body súper]]</f>
        <v>15</v>
      </c>
      <c r="M12" s="7">
        <f t="shared" si="0"/>
        <v>175</v>
      </c>
      <c r="N12" s="8">
        <v>0.37894736842105264</v>
      </c>
      <c r="O12" s="8">
        <v>0.6210526315789473</v>
      </c>
      <c r="P12" s="8">
        <v>0.27160493827160492</v>
      </c>
      <c r="Q12" s="8">
        <v>0.72839506172839508</v>
      </c>
    </row>
    <row r="13" spans="1:17" s="3" customFormat="1" x14ac:dyDescent="0.3">
      <c r="A13" s="12" t="s">
        <v>36</v>
      </c>
      <c r="B13" s="10">
        <v>44617</v>
      </c>
      <c r="C13" s="18" t="s">
        <v>53</v>
      </c>
      <c r="D13" s="9" t="s">
        <v>54</v>
      </c>
      <c r="E13" s="9" t="s">
        <v>52</v>
      </c>
      <c r="F13" s="9" t="s">
        <v>10</v>
      </c>
      <c r="G13" s="9" t="s">
        <v>16</v>
      </c>
      <c r="H13" s="9" t="s">
        <v>16</v>
      </c>
      <c r="I13" s="9" t="s">
        <v>17</v>
      </c>
      <c r="J13" s="7">
        <f>25+25+25</f>
        <v>75</v>
      </c>
      <c r="K13" s="7">
        <f>13+20+15</f>
        <v>48</v>
      </c>
      <c r="L13" s="7">
        <f>Tabuľka1[[#This Row],[spolu body UCLA]]-Tabuľka1[[#This Row],[spolu body súper]]</f>
        <v>27</v>
      </c>
      <c r="M13" s="7">
        <f t="shared" si="0"/>
        <v>123</v>
      </c>
      <c r="N13" s="8">
        <v>0.45333333333333331</v>
      </c>
      <c r="O13" s="8">
        <v>0.54666666666666663</v>
      </c>
      <c r="P13" s="8">
        <v>0.18</v>
      </c>
      <c r="Q13" s="8">
        <v>0.82000000000000006</v>
      </c>
    </row>
    <row r="14" spans="1:17" s="3" customFormat="1" x14ac:dyDescent="0.3">
      <c r="A14" s="12">
        <v>13</v>
      </c>
      <c r="B14" s="10">
        <v>44623</v>
      </c>
      <c r="C14" s="18" t="s">
        <v>55</v>
      </c>
      <c r="D14" s="9" t="s">
        <v>44</v>
      </c>
      <c r="E14" s="9" t="s">
        <v>21</v>
      </c>
      <c r="F14" s="9" t="s">
        <v>42</v>
      </c>
      <c r="G14" s="9" t="s">
        <v>16</v>
      </c>
      <c r="H14" s="9" t="s">
        <v>16</v>
      </c>
      <c r="I14" s="9" t="s">
        <v>17</v>
      </c>
      <c r="J14" s="7">
        <f>25+25+25</f>
        <v>75</v>
      </c>
      <c r="K14" s="7">
        <f>14+19+21</f>
        <v>54</v>
      </c>
      <c r="L14" s="7">
        <f>Tabuľka1[[#This Row],[spolu body UCLA]]-Tabuľka1[[#This Row],[spolu body súper]]</f>
        <v>21</v>
      </c>
      <c r="M14" s="7">
        <f t="shared" si="0"/>
        <v>129</v>
      </c>
      <c r="N14" s="8">
        <v>0.46666666666666667</v>
      </c>
      <c r="O14" s="8">
        <v>0.53333333333333333</v>
      </c>
      <c r="P14" s="8">
        <v>0.2857142857142857</v>
      </c>
      <c r="Q14" s="8">
        <v>0.7142857142857143</v>
      </c>
    </row>
    <row r="15" spans="1:17" s="3" customFormat="1" x14ac:dyDescent="0.3">
      <c r="A15" s="12">
        <v>14</v>
      </c>
      <c r="B15" s="10">
        <v>44624</v>
      </c>
      <c r="C15" s="18" t="s">
        <v>55</v>
      </c>
      <c r="D15" s="9" t="s">
        <v>9</v>
      </c>
      <c r="E15" s="9" t="s">
        <v>52</v>
      </c>
      <c r="F15" s="9" t="s">
        <v>42</v>
      </c>
      <c r="G15" s="9" t="s">
        <v>16</v>
      </c>
      <c r="H15" s="9" t="s">
        <v>16</v>
      </c>
      <c r="I15" s="9" t="s">
        <v>17</v>
      </c>
      <c r="J15" s="7">
        <f>25+25+25</f>
        <v>75</v>
      </c>
      <c r="K15" s="7">
        <f>18+20+21</f>
        <v>59</v>
      </c>
      <c r="L15" s="7">
        <f>Tabuľka1[[#This Row],[spolu body UCLA]]-Tabuľka1[[#This Row],[spolu body súper]]</f>
        <v>16</v>
      </c>
      <c r="M15" s="7">
        <f t="shared" si="0"/>
        <v>134</v>
      </c>
      <c r="N15" s="8">
        <v>0.42666666666666669</v>
      </c>
      <c r="O15" s="8">
        <v>0.57333333333333325</v>
      </c>
      <c r="P15" s="8">
        <v>0.29508196721311475</v>
      </c>
      <c r="Q15" s="8">
        <v>0.70491803278688525</v>
      </c>
    </row>
    <row r="16" spans="1:17" s="33" customFormat="1" x14ac:dyDescent="0.3">
      <c r="A16" s="28">
        <v>15</v>
      </c>
      <c r="B16" s="29">
        <v>44631</v>
      </c>
      <c r="C16" s="30" t="s">
        <v>56</v>
      </c>
      <c r="D16" s="31" t="s">
        <v>39</v>
      </c>
      <c r="E16" s="31" t="s">
        <v>15</v>
      </c>
      <c r="F16" s="31" t="s">
        <v>57</v>
      </c>
      <c r="G16" s="31" t="s">
        <v>46</v>
      </c>
      <c r="H16" s="31" t="s">
        <v>67</v>
      </c>
      <c r="I16" s="31" t="s">
        <v>58</v>
      </c>
      <c r="J16" s="32">
        <f>20+25+18+25+12</f>
        <v>100</v>
      </c>
      <c r="K16" s="32">
        <f>25+22+25+23+15</f>
        <v>110</v>
      </c>
      <c r="L16" s="32">
        <f>Tabuľka1[[#This Row],[spolu body UCLA]]-Tabuľka1[[#This Row],[spolu body súper]]</f>
        <v>-10</v>
      </c>
      <c r="M16" s="32">
        <f t="shared" si="0"/>
        <v>210</v>
      </c>
      <c r="N16" s="39">
        <v>0.27</v>
      </c>
      <c r="O16" s="39">
        <v>0.73</v>
      </c>
      <c r="P16" s="39">
        <v>0.33027522935779818</v>
      </c>
      <c r="Q16" s="39">
        <v>0.66972477064220182</v>
      </c>
    </row>
    <row r="17" spans="1:17" s="3" customFormat="1" x14ac:dyDescent="0.3">
      <c r="A17" s="12">
        <v>16</v>
      </c>
      <c r="B17" s="10">
        <v>44632</v>
      </c>
      <c r="C17" s="18" t="s">
        <v>56</v>
      </c>
      <c r="D17" s="9" t="s">
        <v>39</v>
      </c>
      <c r="E17" s="9" t="s">
        <v>54</v>
      </c>
      <c r="F17" s="9" t="s">
        <v>46</v>
      </c>
      <c r="G17" s="9" t="s">
        <v>24</v>
      </c>
      <c r="H17" s="9" t="s">
        <v>16</v>
      </c>
      <c r="I17" s="9" t="s">
        <v>22</v>
      </c>
      <c r="J17" s="7">
        <f>20+25+25+27</f>
        <v>97</v>
      </c>
      <c r="K17" s="7">
        <f>25+13+23+25</f>
        <v>86</v>
      </c>
      <c r="L17" s="7">
        <f>Tabuľka1[[#This Row],[spolu body UCLA]]-Tabuľka1[[#This Row],[spolu body súper]]</f>
        <v>11</v>
      </c>
      <c r="M17" s="7">
        <f t="shared" si="0"/>
        <v>183</v>
      </c>
      <c r="N17" s="8">
        <v>0.34020618556701032</v>
      </c>
      <c r="O17" s="8">
        <v>0.65979381443298968</v>
      </c>
      <c r="P17" s="8">
        <v>0.26436781609195403</v>
      </c>
      <c r="Q17" s="8">
        <v>0.73563218390804597</v>
      </c>
    </row>
    <row r="18" spans="1:17" s="3" customFormat="1" x14ac:dyDescent="0.3">
      <c r="A18" s="12">
        <v>17</v>
      </c>
      <c r="B18" s="10">
        <v>44645</v>
      </c>
      <c r="C18" s="18" t="s">
        <v>59</v>
      </c>
      <c r="D18" s="9" t="s">
        <v>61</v>
      </c>
      <c r="E18" s="9" t="s">
        <v>62</v>
      </c>
      <c r="F18" s="9" t="s">
        <v>63</v>
      </c>
      <c r="G18" s="9" t="s">
        <v>16</v>
      </c>
      <c r="H18" s="9" t="s">
        <v>16</v>
      </c>
      <c r="I18" s="9" t="s">
        <v>17</v>
      </c>
      <c r="J18" s="7">
        <f>25+25+25</f>
        <v>75</v>
      </c>
      <c r="K18" s="7">
        <f>8+9+5</f>
        <v>22</v>
      </c>
      <c r="L18" s="7">
        <f>Tabuľka1[[#This Row],[spolu body UCLA]]-Tabuľka1[[#This Row],[spolu body súper]]</f>
        <v>53</v>
      </c>
      <c r="M18" s="7">
        <f t="shared" si="0"/>
        <v>97</v>
      </c>
      <c r="N18" s="8">
        <v>0.68</v>
      </c>
      <c r="O18" s="8">
        <v>0.31999999999999995</v>
      </c>
      <c r="P18" s="8">
        <v>0</v>
      </c>
      <c r="Q18" s="8">
        <v>1</v>
      </c>
    </row>
    <row r="19" spans="1:17" s="3" customFormat="1" x14ac:dyDescent="0.3">
      <c r="A19" s="12">
        <v>18</v>
      </c>
      <c r="B19" s="10">
        <v>44646</v>
      </c>
      <c r="C19" s="18" t="s">
        <v>60</v>
      </c>
      <c r="D19" s="9" t="s">
        <v>61</v>
      </c>
      <c r="E19" s="9" t="s">
        <v>68</v>
      </c>
      <c r="F19" s="9" t="s">
        <v>69</v>
      </c>
      <c r="G19" s="9" t="s">
        <v>16</v>
      </c>
      <c r="H19" s="9" t="s">
        <v>16</v>
      </c>
      <c r="I19" s="9" t="s">
        <v>17</v>
      </c>
      <c r="J19" s="7">
        <f>25+25+25</f>
        <v>75</v>
      </c>
      <c r="K19" s="7">
        <f>8+10+11</f>
        <v>29</v>
      </c>
      <c r="L19" s="7">
        <f>Tabuľka1[[#This Row],[spolu body UCLA]]-Tabuľka1[[#This Row],[spolu body súper]]</f>
        <v>46</v>
      </c>
      <c r="M19" s="7">
        <f t="shared" si="0"/>
        <v>104</v>
      </c>
      <c r="N19" s="8">
        <v>0.62666666666666671</v>
      </c>
      <c r="O19" s="8">
        <v>0.37333333333333329</v>
      </c>
      <c r="P19" s="8">
        <v>9.6774193548387094E-2</v>
      </c>
      <c r="Q19" s="8">
        <v>0.90322580645161288</v>
      </c>
    </row>
    <row r="20" spans="1:17" s="3" customFormat="1" x14ac:dyDescent="0.3">
      <c r="A20" s="12">
        <v>19</v>
      </c>
      <c r="B20" s="10">
        <v>44651</v>
      </c>
      <c r="C20" s="18" t="s">
        <v>70</v>
      </c>
      <c r="D20" s="9" t="s">
        <v>46</v>
      </c>
      <c r="E20" s="9" t="s">
        <v>21</v>
      </c>
      <c r="F20" s="9" t="s">
        <v>71</v>
      </c>
      <c r="G20" s="9" t="s">
        <v>16</v>
      </c>
      <c r="H20" s="9" t="s">
        <v>16</v>
      </c>
      <c r="I20" s="9" t="s">
        <v>17</v>
      </c>
      <c r="J20" s="7">
        <f>25+25+25</f>
        <v>75</v>
      </c>
      <c r="K20" s="7">
        <f>23+19+17</f>
        <v>59</v>
      </c>
      <c r="L20" s="7">
        <f>Tabuľka1[[#This Row],[spolu body UCLA]]-Tabuľka1[[#This Row],[spolu body súper]]</f>
        <v>16</v>
      </c>
      <c r="M20" s="7">
        <f t="shared" si="0"/>
        <v>134</v>
      </c>
      <c r="N20" s="8">
        <v>0.37333333333333335</v>
      </c>
      <c r="O20" s="8">
        <v>0.62666666666666671</v>
      </c>
      <c r="P20" s="8">
        <v>0.21666666666666667</v>
      </c>
      <c r="Q20" s="8">
        <v>0.78333333333333333</v>
      </c>
    </row>
    <row r="21" spans="1:17" s="3" customFormat="1" x14ac:dyDescent="0.3">
      <c r="A21" s="12">
        <v>20</v>
      </c>
      <c r="B21" s="10">
        <v>44653</v>
      </c>
      <c r="C21" s="18" t="s">
        <v>70</v>
      </c>
      <c r="D21" s="9" t="s">
        <v>11</v>
      </c>
      <c r="E21" s="9" t="s">
        <v>21</v>
      </c>
      <c r="F21" s="9" t="s">
        <v>19</v>
      </c>
      <c r="G21" s="9" t="s">
        <v>72</v>
      </c>
      <c r="H21" s="9" t="s">
        <v>66</v>
      </c>
      <c r="I21" s="9" t="s">
        <v>13</v>
      </c>
      <c r="J21" s="7">
        <f>23+25+17+25+15</f>
        <v>105</v>
      </c>
      <c r="K21" s="7">
        <f>25+19+25+12+12</f>
        <v>93</v>
      </c>
      <c r="L21" s="7">
        <f>Tabuľka1[[#This Row],[spolu body UCLA]]-Tabuľka1[[#This Row],[spolu body súper]]</f>
        <v>12</v>
      </c>
      <c r="M21" s="7">
        <f t="shared" si="0"/>
        <v>198</v>
      </c>
      <c r="N21" s="8">
        <v>0.34285714285714286</v>
      </c>
      <c r="O21" s="8">
        <v>0.65714285714285714</v>
      </c>
      <c r="P21" s="8">
        <v>0.26595744680851063</v>
      </c>
      <c r="Q21" s="8">
        <v>0.73404255319148937</v>
      </c>
    </row>
    <row r="22" spans="1:17" s="3" customFormat="1" x14ac:dyDescent="0.3">
      <c r="A22" s="12">
        <v>21</v>
      </c>
      <c r="B22" s="10">
        <v>44658</v>
      </c>
      <c r="C22" s="18" t="s">
        <v>73</v>
      </c>
      <c r="D22" s="9" t="s">
        <v>21</v>
      </c>
      <c r="E22" s="9" t="s">
        <v>74</v>
      </c>
      <c r="F22" s="9" t="s">
        <v>15</v>
      </c>
      <c r="G22" s="9" t="s">
        <v>16</v>
      </c>
      <c r="H22" s="9" t="s">
        <v>16</v>
      </c>
      <c r="I22" s="9" t="s">
        <v>17</v>
      </c>
      <c r="J22" s="7">
        <f>25+30+25</f>
        <v>80</v>
      </c>
      <c r="K22" s="7">
        <f>19+28+22</f>
        <v>69</v>
      </c>
      <c r="L22" s="7">
        <f>Tabuľka1[[#This Row],[spolu body UCLA]]-Tabuľka1[[#This Row],[spolu body súper]]</f>
        <v>11</v>
      </c>
      <c r="M22" s="7">
        <f t="shared" si="0"/>
        <v>149</v>
      </c>
      <c r="N22" s="8">
        <v>0.35</v>
      </c>
      <c r="O22" s="8">
        <v>0.65</v>
      </c>
      <c r="P22" s="8">
        <v>0.26760563380281688</v>
      </c>
      <c r="Q22" s="8">
        <v>0.73239436619718312</v>
      </c>
    </row>
    <row r="23" spans="1:17" s="3" customFormat="1" x14ac:dyDescent="0.3">
      <c r="A23" s="12">
        <v>22</v>
      </c>
      <c r="B23" s="10">
        <v>44660</v>
      </c>
      <c r="C23" s="18" t="s">
        <v>73</v>
      </c>
      <c r="D23" s="9" t="s">
        <v>46</v>
      </c>
      <c r="E23" s="9" t="s">
        <v>21</v>
      </c>
      <c r="F23" s="9" t="s">
        <v>21</v>
      </c>
      <c r="G23" s="9" t="s">
        <v>16</v>
      </c>
      <c r="H23" s="9" t="s">
        <v>16</v>
      </c>
      <c r="I23" s="9" t="s">
        <v>17</v>
      </c>
      <c r="J23" s="7">
        <f>25+25+25</f>
        <v>75</v>
      </c>
      <c r="K23" s="7">
        <f>23+19+19</f>
        <v>61</v>
      </c>
      <c r="L23" s="7">
        <f>Tabuľka1[[#This Row],[spolu body UCLA]]-Tabuľka1[[#This Row],[spolu body súper]]</f>
        <v>14</v>
      </c>
      <c r="M23" s="7">
        <f t="shared" si="0"/>
        <v>136</v>
      </c>
      <c r="N23" s="8">
        <v>0.37333333333333335</v>
      </c>
      <c r="O23" s="8">
        <v>0.62666666666666671</v>
      </c>
      <c r="P23" s="8">
        <v>0.24193548387096775</v>
      </c>
      <c r="Q23" s="8">
        <v>0.75806451612903225</v>
      </c>
    </row>
    <row r="24" spans="1:17" s="3" customFormat="1" x14ac:dyDescent="0.3">
      <c r="A24" s="12">
        <v>23</v>
      </c>
      <c r="B24" s="10">
        <v>44666</v>
      </c>
      <c r="C24" s="18" t="s">
        <v>75</v>
      </c>
      <c r="D24" s="9" t="s">
        <v>39</v>
      </c>
      <c r="E24" s="9" t="s">
        <v>46</v>
      </c>
      <c r="F24" s="9" t="s">
        <v>49</v>
      </c>
      <c r="G24" s="9" t="s">
        <v>9</v>
      </c>
      <c r="H24" s="9" t="s">
        <v>16</v>
      </c>
      <c r="I24" s="9" t="s">
        <v>22</v>
      </c>
      <c r="J24" s="7">
        <f>20+25+25+25</f>
        <v>95</v>
      </c>
      <c r="K24" s="7">
        <f>25+23+16+18</f>
        <v>82</v>
      </c>
      <c r="L24" s="7">
        <f>Tabuľka1[[#This Row],[spolu body UCLA]]-Tabuľka1[[#This Row],[spolu body súper]]</f>
        <v>13</v>
      </c>
      <c r="M24" s="7">
        <f t="shared" si="0"/>
        <v>177</v>
      </c>
      <c r="N24" s="8">
        <v>0.4</v>
      </c>
      <c r="O24" s="8">
        <v>0.6</v>
      </c>
      <c r="P24" s="8">
        <v>0.31325301204819278</v>
      </c>
      <c r="Q24" s="8">
        <v>0.68674698795180722</v>
      </c>
    </row>
    <row r="25" spans="1:17" s="3" customFormat="1" x14ac:dyDescent="0.3">
      <c r="A25" s="12">
        <v>24</v>
      </c>
      <c r="B25" s="10">
        <v>44667</v>
      </c>
      <c r="C25" s="18" t="s">
        <v>75</v>
      </c>
      <c r="D25" s="9" t="s">
        <v>76</v>
      </c>
      <c r="E25" s="9" t="s">
        <v>39</v>
      </c>
      <c r="F25" s="9" t="s">
        <v>46</v>
      </c>
      <c r="G25" s="9" t="s">
        <v>15</v>
      </c>
      <c r="H25" s="9" t="s">
        <v>77</v>
      </c>
      <c r="I25" s="9" t="s">
        <v>13</v>
      </c>
      <c r="J25" s="7">
        <f>26+20+25+25+15</f>
        <v>111</v>
      </c>
      <c r="K25" s="7">
        <f>28+25+23+22+9</f>
        <v>107</v>
      </c>
      <c r="L25" s="7">
        <f>Tabuľka1[[#This Row],[spolu body UCLA]]-Tabuľka1[[#This Row],[spolu body súper]]</f>
        <v>4</v>
      </c>
      <c r="M25" s="7">
        <f t="shared" si="0"/>
        <v>218</v>
      </c>
      <c r="N25" s="8">
        <v>0.29729729729729731</v>
      </c>
      <c r="O25" s="8">
        <v>0.70270270270270263</v>
      </c>
      <c r="P25" s="8">
        <v>0.27777777777777779</v>
      </c>
      <c r="Q25" s="8">
        <v>0.72222222222222221</v>
      </c>
    </row>
    <row r="26" spans="1:17" s="33" customFormat="1" x14ac:dyDescent="0.3">
      <c r="A26" s="28">
        <v>25</v>
      </c>
      <c r="B26" s="29">
        <v>44672</v>
      </c>
      <c r="C26" s="30" t="s">
        <v>56</v>
      </c>
      <c r="D26" s="31" t="s">
        <v>38</v>
      </c>
      <c r="E26" s="31" t="s">
        <v>11</v>
      </c>
      <c r="F26" s="31" t="s">
        <v>42</v>
      </c>
      <c r="G26" s="31" t="s">
        <v>10</v>
      </c>
      <c r="H26" s="31" t="s">
        <v>78</v>
      </c>
      <c r="I26" s="31" t="s">
        <v>58</v>
      </c>
      <c r="J26" s="32">
        <f>21+23+25+25+11</f>
        <v>105</v>
      </c>
      <c r="K26" s="32">
        <f>25+25+21+15+15</f>
        <v>101</v>
      </c>
      <c r="L26" s="32">
        <f>Tabuľka1[[#This Row],[spolu body UCLA]]-Tabuľka1[[#This Row],[spolu body súper]]</f>
        <v>4</v>
      </c>
      <c r="M26" s="32">
        <f t="shared" si="0"/>
        <v>206</v>
      </c>
      <c r="N26" s="39">
        <v>0.3619047619047619</v>
      </c>
      <c r="O26" s="39">
        <v>0.63809523809523805</v>
      </c>
      <c r="P26" s="39">
        <v>0.33</v>
      </c>
      <c r="Q26" s="39">
        <v>0.66999999999999993</v>
      </c>
    </row>
    <row r="27" spans="1:17" s="3" customFormat="1" x14ac:dyDescent="0.3">
      <c r="A27" s="12">
        <v>26</v>
      </c>
      <c r="B27" s="10">
        <v>44684</v>
      </c>
      <c r="C27" s="18" t="s">
        <v>73</v>
      </c>
      <c r="D27" s="9" t="s">
        <v>46</v>
      </c>
      <c r="E27" s="9" t="s">
        <v>43</v>
      </c>
      <c r="F27" s="9" t="s">
        <v>45</v>
      </c>
      <c r="G27" s="9" t="s">
        <v>21</v>
      </c>
      <c r="H27" s="9" t="s">
        <v>16</v>
      </c>
      <c r="I27" s="9" t="s">
        <v>22</v>
      </c>
      <c r="J27" s="7">
        <f>25+22+26+25</f>
        <v>98</v>
      </c>
      <c r="K27" s="7">
        <f>23+25+24+19</f>
        <v>91</v>
      </c>
      <c r="L27" s="7">
        <f>Tabuľka1[[#This Row],[spolu body UCLA]]-Tabuľka1[[#This Row],[spolu body súper]]</f>
        <v>7</v>
      </c>
      <c r="M27" s="7">
        <f t="shared" si="0"/>
        <v>189</v>
      </c>
      <c r="N27" s="8">
        <v>0.30612244897959184</v>
      </c>
      <c r="O27" s="8">
        <v>0.69387755102040816</v>
      </c>
      <c r="P27" s="8">
        <v>0.2608695652173913</v>
      </c>
      <c r="Q27" s="8">
        <v>0.73913043478260865</v>
      </c>
    </row>
    <row r="28" spans="1:17" s="27" customFormat="1" x14ac:dyDescent="0.3">
      <c r="A28" s="21">
        <v>27</v>
      </c>
      <c r="B28" s="22">
        <v>44686</v>
      </c>
      <c r="C28" s="23" t="s">
        <v>50</v>
      </c>
      <c r="D28" s="24" t="s">
        <v>9</v>
      </c>
      <c r="E28" s="24" t="s">
        <v>9</v>
      </c>
      <c r="F28" s="24" t="s">
        <v>79</v>
      </c>
      <c r="G28" s="25" t="s">
        <v>94</v>
      </c>
      <c r="H28" s="24" t="s">
        <v>80</v>
      </c>
      <c r="I28" s="25" t="s">
        <v>58</v>
      </c>
      <c r="J28" s="26">
        <f>25+25+15+10+14</f>
        <v>89</v>
      </c>
      <c r="K28" s="26">
        <f>18+18+25+25+16</f>
        <v>102</v>
      </c>
      <c r="L28" s="26">
        <f>Tabuľka1[[#This Row],[spolu body UCLA]]-Tabuľka1[[#This Row],[spolu body súper]]</f>
        <v>-13</v>
      </c>
      <c r="M28" s="32">
        <f t="shared" si="0"/>
        <v>191</v>
      </c>
      <c r="N28" s="39">
        <v>0.24719101123595505</v>
      </c>
      <c r="O28" s="39">
        <v>0.75280898876404501</v>
      </c>
      <c r="P28" s="39">
        <v>0.34313725490196079</v>
      </c>
      <c r="Q28" s="39">
        <v>0.65686274509803921</v>
      </c>
    </row>
    <row r="30" spans="1:17" x14ac:dyDescent="0.3">
      <c r="C30" s="19" t="s">
        <v>82</v>
      </c>
      <c r="D30" s="1">
        <f>27*3+15+8</f>
        <v>104</v>
      </c>
    </row>
    <row r="31" spans="1:17" x14ac:dyDescent="0.3">
      <c r="C31" s="19" t="s">
        <v>81</v>
      </c>
      <c r="D31" s="1">
        <v>27</v>
      </c>
    </row>
    <row r="32" spans="1:17" x14ac:dyDescent="0.3">
      <c r="A32" s="3" t="s">
        <v>7</v>
      </c>
    </row>
    <row r="33" spans="1:1" x14ac:dyDescent="0.3">
      <c r="A33" s="20" t="s">
        <v>96</v>
      </c>
    </row>
    <row r="34" spans="1:1" ht="28.8" x14ac:dyDescent="0.3">
      <c r="A34" s="34" t="s">
        <v>97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H16 H26 G28" twoDigitTextYear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3A80-AE02-4BBE-8D8E-B559A531F7AF}">
  <dimension ref="A1:W59"/>
  <sheetViews>
    <sheetView topLeftCell="A24" workbookViewId="0">
      <selection activeCell="D46" sqref="D46"/>
    </sheetView>
  </sheetViews>
  <sheetFormatPr defaultRowHeight="14.4" x14ac:dyDescent="0.3"/>
  <cols>
    <col min="3" max="3" width="9.6640625" customWidth="1"/>
  </cols>
  <sheetData>
    <row r="1" spans="1:23" x14ac:dyDescent="0.3">
      <c r="A1" s="5"/>
      <c r="B1" s="53" t="s">
        <v>90</v>
      </c>
      <c r="C1" s="53"/>
      <c r="D1" s="53"/>
      <c r="E1" s="5"/>
    </row>
    <row r="2" spans="1:23" ht="43.2" x14ac:dyDescent="0.3">
      <c r="A2" s="53" t="s">
        <v>89</v>
      </c>
      <c r="B2" s="5"/>
      <c r="C2" s="5" t="s">
        <v>87</v>
      </c>
      <c r="D2" s="37" t="s">
        <v>50</v>
      </c>
      <c r="E2" s="5" t="s">
        <v>88</v>
      </c>
    </row>
    <row r="3" spans="1:23" x14ac:dyDescent="0.3">
      <c r="A3" s="53"/>
      <c r="B3" s="5" t="s">
        <v>87</v>
      </c>
      <c r="C3" s="7">
        <v>14</v>
      </c>
      <c r="D3" s="7">
        <v>46</v>
      </c>
      <c r="E3" s="7">
        <f>C3+D3</f>
        <v>60</v>
      </c>
    </row>
    <row r="4" spans="1:23" ht="43.2" x14ac:dyDescent="0.3">
      <c r="A4" s="53"/>
      <c r="B4" s="37" t="s">
        <v>50</v>
      </c>
      <c r="C4" s="7">
        <v>44</v>
      </c>
      <c r="D4" s="7">
        <v>29</v>
      </c>
      <c r="E4" s="7">
        <f>C4+D4</f>
        <v>73</v>
      </c>
    </row>
    <row r="5" spans="1:23" x14ac:dyDescent="0.3">
      <c r="A5" s="5" t="s">
        <v>88</v>
      </c>
      <c r="B5" s="5"/>
      <c r="C5" s="7">
        <f>C3+C4</f>
        <v>58</v>
      </c>
      <c r="D5" s="7">
        <f>D3+D4</f>
        <v>75</v>
      </c>
      <c r="E5" s="7">
        <f>E3+E4</f>
        <v>133</v>
      </c>
      <c r="H5">
        <v>1</v>
      </c>
      <c r="I5">
        <v>2</v>
      </c>
      <c r="J5">
        <v>1</v>
      </c>
      <c r="N5" s="5" t="s">
        <v>113</v>
      </c>
      <c r="O5" s="53" t="s">
        <v>90</v>
      </c>
      <c r="P5" s="53"/>
      <c r="Q5" s="53"/>
      <c r="R5" s="5"/>
      <c r="T5" s="9" t="s">
        <v>83</v>
      </c>
      <c r="U5" s="9" t="s">
        <v>84</v>
      </c>
      <c r="V5" s="9" t="s">
        <v>85</v>
      </c>
      <c r="W5" s="9" t="s">
        <v>86</v>
      </c>
    </row>
    <row r="6" spans="1:23" x14ac:dyDescent="0.3">
      <c r="H6">
        <v>2</v>
      </c>
      <c r="I6">
        <v>1</v>
      </c>
      <c r="J6">
        <v>2</v>
      </c>
      <c r="N6" s="53" t="s">
        <v>89</v>
      </c>
      <c r="O6" s="5"/>
      <c r="P6" s="5" t="s">
        <v>87</v>
      </c>
      <c r="Q6" s="37" t="s">
        <v>119</v>
      </c>
      <c r="R6" s="5" t="s">
        <v>88</v>
      </c>
      <c r="T6" s="41">
        <f>P7/(P7+Q7)</f>
        <v>0.21739130434782608</v>
      </c>
      <c r="U6" s="41">
        <f>1-T6</f>
        <v>0.78260869565217395</v>
      </c>
      <c r="V6" s="41">
        <f>Q8/(Q8+P8)</f>
        <v>0.29166666666666669</v>
      </c>
      <c r="W6" s="41">
        <f>1-V6</f>
        <v>0.70833333333333326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1</v>
      </c>
      <c r="I7">
        <v>2</v>
      </c>
      <c r="J7">
        <v>2</v>
      </c>
      <c r="N7" s="53"/>
      <c r="O7" s="5" t="s">
        <v>87</v>
      </c>
      <c r="P7" s="7">
        <v>5</v>
      </c>
      <c r="Q7" s="7">
        <v>18</v>
      </c>
      <c r="R7" s="7">
        <f>P7+Q7</f>
        <v>23</v>
      </c>
      <c r="T7" t="s">
        <v>116</v>
      </c>
    </row>
    <row r="8" spans="1:23" x14ac:dyDescent="0.3">
      <c r="A8" s="8">
        <f>C3/C5</f>
        <v>0.2413793103448276</v>
      </c>
      <c r="B8" s="8">
        <f>1-A8</f>
        <v>0.75862068965517238</v>
      </c>
      <c r="C8" s="8">
        <f>D4/E4</f>
        <v>0.39726027397260272</v>
      </c>
      <c r="D8" s="8">
        <f>1-C8</f>
        <v>0.60273972602739723</v>
      </c>
      <c r="H8">
        <v>2</v>
      </c>
      <c r="I8">
        <v>1</v>
      </c>
      <c r="J8">
        <v>2</v>
      </c>
      <c r="N8" s="53"/>
      <c r="O8" s="37" t="s">
        <v>119</v>
      </c>
      <c r="P8" s="7">
        <v>17</v>
      </c>
      <c r="Q8" s="7">
        <v>7</v>
      </c>
      <c r="R8" s="7">
        <f>P8+Q8</f>
        <v>24</v>
      </c>
    </row>
    <row r="9" spans="1:23" x14ac:dyDescent="0.3">
      <c r="H9">
        <v>1</v>
      </c>
      <c r="I9">
        <v>1</v>
      </c>
      <c r="J9">
        <v>1</v>
      </c>
      <c r="N9" s="5" t="s">
        <v>88</v>
      </c>
      <c r="O9" s="5"/>
      <c r="P9" s="7">
        <f>P7+P8</f>
        <v>22</v>
      </c>
      <c r="Q9" s="7">
        <f>Q7+Q8</f>
        <v>25</v>
      </c>
      <c r="R9" s="7">
        <f>R7+R8</f>
        <v>47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2</v>
      </c>
      <c r="I10">
        <v>2</v>
      </c>
      <c r="J10">
        <v>1</v>
      </c>
    </row>
    <row r="11" spans="1:23" x14ac:dyDescent="0.3">
      <c r="A11" s="43">
        <f>C3/E3</f>
        <v>0.23333333333333334</v>
      </c>
      <c r="B11" s="43">
        <f>1-A11</f>
        <v>0.76666666666666661</v>
      </c>
      <c r="C11" s="43">
        <f>D4/E4</f>
        <v>0.39726027397260272</v>
      </c>
      <c r="D11" s="43">
        <f>1-C11</f>
        <v>0.60273972602739723</v>
      </c>
      <c r="E11" s="59"/>
      <c r="F11" s="59"/>
      <c r="H11">
        <v>1</v>
      </c>
      <c r="I11">
        <v>1</v>
      </c>
      <c r="J11">
        <v>2</v>
      </c>
      <c r="N11" s="5" t="s">
        <v>114</v>
      </c>
      <c r="O11" s="53" t="s">
        <v>90</v>
      </c>
      <c r="P11" s="53"/>
      <c r="Q11" s="53"/>
      <c r="R11" s="5"/>
      <c r="T11" s="9" t="s">
        <v>83</v>
      </c>
      <c r="U11" s="9" t="s">
        <v>84</v>
      </c>
      <c r="V11" s="9" t="s">
        <v>85</v>
      </c>
      <c r="W11" s="9" t="s">
        <v>86</v>
      </c>
    </row>
    <row r="12" spans="1:23" x14ac:dyDescent="0.3">
      <c r="E12" s="59"/>
      <c r="F12" s="59"/>
      <c r="H12">
        <v>2</v>
      </c>
      <c r="I12">
        <v>2</v>
      </c>
      <c r="J12">
        <v>2</v>
      </c>
      <c r="N12" s="53" t="s">
        <v>89</v>
      </c>
      <c r="O12" s="5"/>
      <c r="P12" s="5" t="s">
        <v>87</v>
      </c>
      <c r="Q12" s="37" t="s">
        <v>119</v>
      </c>
      <c r="R12" s="5" t="s">
        <v>88</v>
      </c>
      <c r="T12" s="41">
        <f>P13/(P13+Q13)</f>
        <v>0.34782608695652173</v>
      </c>
      <c r="U12" s="41">
        <f>1-T12</f>
        <v>0.65217391304347827</v>
      </c>
      <c r="V12" s="41">
        <f>Q14/(Q14+P14)</f>
        <v>0.4</v>
      </c>
      <c r="W12" s="41">
        <f>1-V12</f>
        <v>0.6</v>
      </c>
    </row>
    <row r="13" spans="1:23" x14ac:dyDescent="0.3">
      <c r="H13">
        <v>1</v>
      </c>
      <c r="I13">
        <v>1</v>
      </c>
      <c r="J13">
        <v>2</v>
      </c>
      <c r="N13" s="53"/>
      <c r="O13" s="5" t="s">
        <v>87</v>
      </c>
      <c r="P13" s="7">
        <v>8</v>
      </c>
      <c r="Q13" s="7">
        <v>15</v>
      </c>
      <c r="R13" s="7">
        <f>P13+Q13</f>
        <v>23</v>
      </c>
    </row>
    <row r="14" spans="1:23" x14ac:dyDescent="0.3">
      <c r="H14">
        <v>1</v>
      </c>
      <c r="I14">
        <v>2</v>
      </c>
      <c r="J14">
        <v>1</v>
      </c>
      <c r="N14" s="53"/>
      <c r="O14" s="37" t="s">
        <v>119</v>
      </c>
      <c r="P14" s="7">
        <v>15</v>
      </c>
      <c r="Q14" s="7">
        <v>10</v>
      </c>
      <c r="R14" s="7">
        <f>P14+Q14</f>
        <v>25</v>
      </c>
    </row>
    <row r="15" spans="1:23" x14ac:dyDescent="0.3">
      <c r="H15">
        <v>2</v>
      </c>
      <c r="I15">
        <v>1</v>
      </c>
      <c r="J15">
        <v>2</v>
      </c>
      <c r="N15" s="5" t="s">
        <v>88</v>
      </c>
      <c r="O15" s="5"/>
      <c r="P15" s="7">
        <f>P13+P14</f>
        <v>23</v>
      </c>
      <c r="Q15" s="7">
        <f>Q13+Q14</f>
        <v>25</v>
      </c>
      <c r="R15" s="7">
        <f>R13+R14</f>
        <v>48</v>
      </c>
    </row>
    <row r="16" spans="1:23" x14ac:dyDescent="0.3">
      <c r="H16">
        <v>1</v>
      </c>
      <c r="I16">
        <v>1</v>
      </c>
      <c r="J16">
        <v>1</v>
      </c>
    </row>
    <row r="17" spans="1:23" x14ac:dyDescent="0.3">
      <c r="H17">
        <v>1</v>
      </c>
      <c r="I17">
        <v>2</v>
      </c>
      <c r="J17">
        <v>2</v>
      </c>
      <c r="N17" s="5" t="s">
        <v>115</v>
      </c>
      <c r="O17" s="53" t="s">
        <v>90</v>
      </c>
      <c r="P17" s="53"/>
      <c r="Q17" s="53"/>
      <c r="R17" s="5"/>
      <c r="T17" s="9" t="s">
        <v>83</v>
      </c>
      <c r="U17" s="9" t="s">
        <v>84</v>
      </c>
      <c r="V17" s="9" t="s">
        <v>85</v>
      </c>
      <c r="W17" s="9" t="s">
        <v>86</v>
      </c>
    </row>
    <row r="18" spans="1:23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2</v>
      </c>
      <c r="I18">
        <v>2</v>
      </c>
      <c r="J18">
        <v>1</v>
      </c>
      <c r="N18" s="53" t="s">
        <v>89</v>
      </c>
      <c r="O18" s="5"/>
      <c r="P18" s="5" t="s">
        <v>87</v>
      </c>
      <c r="Q18" s="37" t="s">
        <v>119</v>
      </c>
      <c r="R18" s="5" t="s">
        <v>88</v>
      </c>
      <c r="T18" s="41">
        <f>P19/(P19+Q19)</f>
        <v>7.1428571428571425E-2</v>
      </c>
      <c r="U18" s="41">
        <f>1-T18</f>
        <v>0.9285714285714286</v>
      </c>
      <c r="V18" s="41">
        <f>Q20/(Q20+P20)</f>
        <v>0.5</v>
      </c>
      <c r="W18" s="41">
        <f>1-V18</f>
        <v>0.5</v>
      </c>
    </row>
    <row r="19" spans="1:23" x14ac:dyDescent="0.3">
      <c r="A19" s="54"/>
      <c r="B19" s="54"/>
      <c r="C19" s="69"/>
      <c r="D19" s="54"/>
      <c r="E19" s="54"/>
      <c r="F19" s="54"/>
      <c r="H19">
        <v>2</v>
      </c>
      <c r="I19">
        <v>1</v>
      </c>
      <c r="J19">
        <v>2</v>
      </c>
      <c r="N19" s="53"/>
      <c r="O19" s="5" t="s">
        <v>87</v>
      </c>
      <c r="P19" s="7">
        <v>1</v>
      </c>
      <c r="Q19" s="7">
        <v>13</v>
      </c>
      <c r="R19" s="7">
        <f>P19+Q19</f>
        <v>14</v>
      </c>
    </row>
    <row r="20" spans="1:23" x14ac:dyDescent="0.3">
      <c r="A20" s="54"/>
      <c r="B20" s="54"/>
      <c r="C20" s="69"/>
      <c r="D20" s="54"/>
      <c r="E20" s="54"/>
      <c r="F20" s="54"/>
      <c r="H20">
        <v>1</v>
      </c>
      <c r="I20">
        <v>1</v>
      </c>
      <c r="J20">
        <v>1</v>
      </c>
      <c r="N20" s="53"/>
      <c r="O20" s="37" t="s">
        <v>119</v>
      </c>
      <c r="P20" s="7">
        <v>12</v>
      </c>
      <c r="Q20" s="7">
        <v>12</v>
      </c>
      <c r="R20" s="7">
        <f>P20+Q20</f>
        <v>24</v>
      </c>
    </row>
    <row r="21" spans="1:23" x14ac:dyDescent="0.3">
      <c r="A21" s="54"/>
      <c r="B21" s="54"/>
      <c r="C21" s="70"/>
      <c r="D21" s="54"/>
      <c r="E21" s="54"/>
      <c r="F21" s="54"/>
      <c r="H21">
        <v>2</v>
      </c>
      <c r="I21">
        <v>2</v>
      </c>
      <c r="J21">
        <v>2</v>
      </c>
      <c r="N21" s="5" t="s">
        <v>88</v>
      </c>
      <c r="O21" s="5"/>
      <c r="P21" s="7">
        <f>P19+P20</f>
        <v>13</v>
      </c>
      <c r="Q21" s="7">
        <f>Q19+Q20</f>
        <v>25</v>
      </c>
      <c r="R21" s="7">
        <f>R19+R20</f>
        <v>38</v>
      </c>
    </row>
    <row r="22" spans="1:23" x14ac:dyDescent="0.3">
      <c r="A22" s="37">
        <v>1</v>
      </c>
      <c r="B22" s="37">
        <v>62</v>
      </c>
      <c r="C22" s="40">
        <f>($C$4*$D$11*$A$11^0)+($D$3*$B$11*$C$11^0)</f>
        <v>61.787214611872145</v>
      </c>
      <c r="D22" s="37">
        <v>64.834000000000003</v>
      </c>
      <c r="E22" s="5" t="s">
        <v>125</v>
      </c>
      <c r="F22" s="5" t="s">
        <v>125</v>
      </c>
      <c r="H22">
        <v>1</v>
      </c>
      <c r="I22">
        <v>2</v>
      </c>
      <c r="J22">
        <v>1</v>
      </c>
    </row>
    <row r="23" spans="1:23" x14ac:dyDescent="0.3">
      <c r="A23" s="37">
        <v>2</v>
      </c>
      <c r="B23" s="37">
        <v>20</v>
      </c>
      <c r="C23" s="40">
        <f>($C$4*$D$11*$A$11^1)+($D$3*$B$11*$C$11^1)</f>
        <v>20.198173515981736</v>
      </c>
      <c r="D23" s="37">
        <v>18.109000000000002</v>
      </c>
      <c r="E23" s="5" t="s">
        <v>125</v>
      </c>
      <c r="F23" s="5" t="s">
        <v>125</v>
      </c>
      <c r="H23">
        <v>2</v>
      </c>
      <c r="I23">
        <v>2</v>
      </c>
      <c r="J23">
        <v>2</v>
      </c>
    </row>
    <row r="24" spans="1:23" x14ac:dyDescent="0.3">
      <c r="A24" s="37">
        <v>3</v>
      </c>
      <c r="B24" s="37">
        <v>4</v>
      </c>
      <c r="C24" s="40">
        <f>($C$4*$D$11*$A$11^2)+($D$3*$B$11*$C$11^2)</f>
        <v>7.0095310773336665</v>
      </c>
      <c r="D24" s="37">
        <v>5.843</v>
      </c>
      <c r="E24" s="37">
        <v>3</v>
      </c>
      <c r="F24" s="5">
        <v>1</v>
      </c>
      <c r="H24">
        <v>1</v>
      </c>
      <c r="I24">
        <v>2</v>
      </c>
      <c r="J24">
        <v>1</v>
      </c>
    </row>
    <row r="25" spans="1:23" x14ac:dyDescent="0.3">
      <c r="A25" s="37">
        <v>4</v>
      </c>
      <c r="B25" s="37">
        <v>3</v>
      </c>
      <c r="C25" s="40">
        <f>($C$4*$D$11*$A$11^3)+($D$3*$B$11*$C$11^3)</f>
        <v>2.5479147004810505</v>
      </c>
      <c r="D25" s="37">
        <v>1.9950000000000001</v>
      </c>
      <c r="E25" s="5">
        <v>0</v>
      </c>
      <c r="F25" s="5">
        <v>3</v>
      </c>
      <c r="H25">
        <v>1</v>
      </c>
      <c r="I25">
        <v>1</v>
      </c>
      <c r="J25">
        <v>2</v>
      </c>
    </row>
    <row r="26" spans="1:23" x14ac:dyDescent="0.3">
      <c r="A26" s="37">
        <v>5</v>
      </c>
      <c r="B26" s="37">
        <v>0</v>
      </c>
      <c r="C26" s="40">
        <f>($C$4*$D$11*$A$11^4)+($D$3*$B$11*$C$11^4)</f>
        <v>0.95695680030392527</v>
      </c>
      <c r="D26" s="37">
        <v>0.73</v>
      </c>
      <c r="E26" s="5">
        <v>0</v>
      </c>
      <c r="F26" s="5">
        <v>0</v>
      </c>
      <c r="H26">
        <v>2</v>
      </c>
      <c r="I26">
        <v>2</v>
      </c>
      <c r="J26">
        <v>1</v>
      </c>
    </row>
    <row r="27" spans="1:23" x14ac:dyDescent="0.3">
      <c r="A27" s="37">
        <v>6</v>
      </c>
      <c r="B27" s="37">
        <v>0</v>
      </c>
      <c r="C27" s="40">
        <f>($C$4*$D$11*$A$11^5)+($D$3*$B$11*$C$11^5)</f>
        <v>0.36727427261281625</v>
      </c>
      <c r="D27" s="37">
        <v>0.28899999999999998</v>
      </c>
      <c r="E27" s="5">
        <v>0</v>
      </c>
      <c r="F27" s="5">
        <v>0</v>
      </c>
      <c r="H27">
        <v>2</v>
      </c>
      <c r="I27">
        <v>2</v>
      </c>
      <c r="J27">
        <v>2</v>
      </c>
    </row>
    <row r="28" spans="1:23" x14ac:dyDescent="0.3">
      <c r="A28" s="37">
        <v>7</v>
      </c>
      <c r="B28" s="37">
        <v>1</v>
      </c>
      <c r="C28" s="40">
        <f>($C$4*$D$11*$A$11^6)+($D$3*$B$11*$C$11^6)</f>
        <v>0.14289659361488694</v>
      </c>
      <c r="D28" s="37">
        <v>8.7999999999999995E-2</v>
      </c>
      <c r="E28" s="5">
        <v>0</v>
      </c>
      <c r="F28" s="5">
        <v>1</v>
      </c>
      <c r="H28">
        <v>1</v>
      </c>
      <c r="I28">
        <v>2</v>
      </c>
      <c r="J28">
        <v>2</v>
      </c>
    </row>
    <row r="29" spans="1:23" x14ac:dyDescent="0.3">
      <c r="A29" s="37">
        <v>8</v>
      </c>
      <c r="B29" s="37">
        <v>0</v>
      </c>
      <c r="C29" s="40">
        <f>($C$4*$D$11*$A$11^7)+($D$3*$B$11*$C$11^7)</f>
        <v>5.6065533535048923E-2</v>
      </c>
      <c r="D29" s="37">
        <v>0.04</v>
      </c>
      <c r="E29" s="5">
        <v>0</v>
      </c>
      <c r="F29" s="5">
        <v>0</v>
      </c>
      <c r="H29">
        <v>2</v>
      </c>
      <c r="I29">
        <v>2</v>
      </c>
      <c r="J29">
        <v>1</v>
      </c>
    </row>
    <row r="30" spans="1:23" x14ac:dyDescent="0.3">
      <c r="A30" s="37" t="s">
        <v>103</v>
      </c>
      <c r="B30" s="37">
        <v>0</v>
      </c>
      <c r="C30" s="40">
        <f>($C$4*$D$11*$A$11^8)+($D$3*$B$11*$C$11^8)</f>
        <v>2.2108901053918044E-2</v>
      </c>
      <c r="D30" s="37">
        <v>1.2999999999999999E-2</v>
      </c>
      <c r="E30" s="5">
        <v>0</v>
      </c>
      <c r="F30" s="5">
        <v>0</v>
      </c>
      <c r="H30">
        <v>1</v>
      </c>
      <c r="I30">
        <v>1</v>
      </c>
      <c r="J30">
        <v>2</v>
      </c>
    </row>
    <row r="31" spans="1:23" x14ac:dyDescent="0.3">
      <c r="H31">
        <v>1</v>
      </c>
      <c r="I31">
        <v>1</v>
      </c>
      <c r="J31">
        <v>1</v>
      </c>
    </row>
    <row r="32" spans="1:23" ht="14.4" customHeight="1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2</v>
      </c>
      <c r="I32">
        <v>2</v>
      </c>
      <c r="J32">
        <v>2</v>
      </c>
    </row>
    <row r="33" spans="1:10" x14ac:dyDescent="0.3">
      <c r="A33" s="53"/>
      <c r="B33" s="54"/>
      <c r="C33" s="54"/>
      <c r="D33" s="54"/>
      <c r="E33" s="54"/>
      <c r="F33" s="53"/>
      <c r="G33" s="53"/>
      <c r="H33">
        <v>1</v>
      </c>
      <c r="I33">
        <v>2</v>
      </c>
      <c r="J33">
        <v>2</v>
      </c>
    </row>
    <row r="34" spans="1:10" x14ac:dyDescent="0.3">
      <c r="A34" s="5" t="s">
        <v>87</v>
      </c>
      <c r="B34" s="64">
        <f>E24+E25+E26+E27+E28+E29+E30</f>
        <v>3</v>
      </c>
      <c r="C34" s="65"/>
      <c r="D34" s="66">
        <f>E24*1+E25*2+E26*3+E27*4+E28*5+E29*6+E30*7</f>
        <v>3</v>
      </c>
      <c r="E34" s="67"/>
      <c r="F34" s="48">
        <f>B34/D34</f>
        <v>1</v>
      </c>
      <c r="G34" s="49">
        <f>F34</f>
        <v>1</v>
      </c>
      <c r="H34">
        <v>2</v>
      </c>
      <c r="I34">
        <v>1</v>
      </c>
      <c r="J34">
        <v>2</v>
      </c>
    </row>
    <row r="35" spans="1:10" x14ac:dyDescent="0.3">
      <c r="A35" s="37" t="s">
        <v>119</v>
      </c>
      <c r="B35" s="64">
        <f>F24+F25+F26+F27+F28+F29+F30</f>
        <v>5</v>
      </c>
      <c r="C35" s="65"/>
      <c r="D35" s="66">
        <f>F24*1+F25*2+F26*3+F27*4+F28*5+F29*6+F30*7</f>
        <v>12</v>
      </c>
      <c r="E35" s="67"/>
      <c r="F35" s="48">
        <f>B35/D35</f>
        <v>0.41666666666666669</v>
      </c>
      <c r="G35" s="49">
        <f>F35</f>
        <v>0.41666666666666669</v>
      </c>
      <c r="H35">
        <v>1</v>
      </c>
      <c r="I35">
        <v>2</v>
      </c>
      <c r="J35">
        <v>2</v>
      </c>
    </row>
    <row r="36" spans="1:10" x14ac:dyDescent="0.3">
      <c r="H36">
        <v>1</v>
      </c>
      <c r="I36">
        <v>1</v>
      </c>
      <c r="J36">
        <v>2</v>
      </c>
    </row>
    <row r="37" spans="1:10" x14ac:dyDescent="0.3">
      <c r="H37">
        <v>2</v>
      </c>
      <c r="I37">
        <v>2</v>
      </c>
      <c r="J37">
        <v>2</v>
      </c>
    </row>
    <row r="38" spans="1:10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1</v>
      </c>
      <c r="I38">
        <v>2</v>
      </c>
      <c r="J38">
        <v>2</v>
      </c>
    </row>
    <row r="39" spans="1:10" x14ac:dyDescent="0.3">
      <c r="A39" s="80" t="s">
        <v>87</v>
      </c>
      <c r="B39" s="83">
        <v>3</v>
      </c>
      <c r="C39" s="83"/>
      <c r="D39" s="92">
        <v>14</v>
      </c>
      <c r="E39" s="92"/>
      <c r="F39" s="82">
        <f>SUM(B39+D39)</f>
        <v>17</v>
      </c>
      <c r="H39">
        <v>2</v>
      </c>
      <c r="I39">
        <v>2</v>
      </c>
      <c r="J39">
        <v>1</v>
      </c>
    </row>
    <row r="40" spans="1:10" x14ac:dyDescent="0.3">
      <c r="A40" s="80" t="s">
        <v>119</v>
      </c>
      <c r="B40" s="83">
        <v>5</v>
      </c>
      <c r="C40" s="83"/>
      <c r="D40" s="92">
        <v>29</v>
      </c>
      <c r="E40" s="92"/>
      <c r="F40" s="82">
        <f>SUM(B40+D40)</f>
        <v>34</v>
      </c>
      <c r="H40">
        <v>1</v>
      </c>
      <c r="I40">
        <v>1</v>
      </c>
      <c r="J40">
        <v>2</v>
      </c>
    </row>
    <row r="41" spans="1:10" x14ac:dyDescent="0.3">
      <c r="A41" s="85"/>
      <c r="B41" s="86">
        <f>SUM(B39:B40)</f>
        <v>8</v>
      </c>
      <c r="C41" s="86"/>
      <c r="D41" s="87">
        <f>SUM(D39:D40)</f>
        <v>43</v>
      </c>
      <c r="E41" s="87"/>
      <c r="F41" s="82">
        <f>SUM(F39:F40)</f>
        <v>51</v>
      </c>
      <c r="H41">
        <v>2</v>
      </c>
      <c r="I41">
        <v>1</v>
      </c>
      <c r="J41">
        <v>2</v>
      </c>
    </row>
    <row r="42" spans="1:10" x14ac:dyDescent="0.3">
      <c r="A42" s="40"/>
      <c r="B42" s="84" t="s">
        <v>134</v>
      </c>
      <c r="C42" s="84"/>
      <c r="D42" s="84" t="s">
        <v>132</v>
      </c>
      <c r="E42" s="84"/>
      <c r="F42" s="73"/>
      <c r="H42">
        <v>2</v>
      </c>
      <c r="I42">
        <v>2</v>
      </c>
      <c r="J42">
        <v>1</v>
      </c>
    </row>
    <row r="43" spans="1:10" x14ac:dyDescent="0.3">
      <c r="A43" s="82" t="s">
        <v>87</v>
      </c>
      <c r="B43" s="81">
        <f>B41*F39/F41</f>
        <v>2.6666666666666665</v>
      </c>
      <c r="C43" s="81"/>
      <c r="D43" s="81">
        <f>D41*F39/F41</f>
        <v>14.333333333333334</v>
      </c>
      <c r="E43" s="81"/>
      <c r="F43" s="73"/>
      <c r="H43">
        <v>2</v>
      </c>
      <c r="I43">
        <v>1</v>
      </c>
      <c r="J43">
        <v>2</v>
      </c>
    </row>
    <row r="44" spans="1:10" x14ac:dyDescent="0.3">
      <c r="A44" s="82" t="s">
        <v>119</v>
      </c>
      <c r="B44" s="81">
        <f>B41*F40/F41</f>
        <v>5.333333333333333</v>
      </c>
      <c r="C44" s="81"/>
      <c r="D44" s="81">
        <f>D41*F40/F41</f>
        <v>28.666666666666668</v>
      </c>
      <c r="E44" s="81"/>
      <c r="F44" s="73"/>
      <c r="H44">
        <v>2</v>
      </c>
      <c r="I44">
        <v>1</v>
      </c>
    </row>
    <row r="45" spans="1:10" x14ac:dyDescent="0.3">
      <c r="A45" s="88"/>
      <c r="B45" s="88"/>
      <c r="C45" s="88"/>
      <c r="D45" s="88"/>
      <c r="E45" s="88"/>
      <c r="F45" s="73"/>
      <c r="H45">
        <v>1</v>
      </c>
      <c r="I45">
        <v>1</v>
      </c>
    </row>
    <row r="46" spans="1:10" x14ac:dyDescent="0.3">
      <c r="A46" s="88" t="s">
        <v>135</v>
      </c>
      <c r="B46" s="89">
        <f>CHITEST(B39:E40,B43:E44)</f>
        <v>0.99475006545620626</v>
      </c>
      <c r="C46" s="88"/>
      <c r="D46" s="88"/>
      <c r="E46" s="88"/>
      <c r="F46" s="73"/>
      <c r="H46">
        <v>2</v>
      </c>
      <c r="I46">
        <v>2</v>
      </c>
    </row>
    <row r="47" spans="1:10" x14ac:dyDescent="0.3">
      <c r="H47">
        <v>2</v>
      </c>
      <c r="I47">
        <v>1</v>
      </c>
    </row>
    <row r="48" spans="1:10" x14ac:dyDescent="0.3">
      <c r="H48">
        <v>1</v>
      </c>
      <c r="I48">
        <v>2</v>
      </c>
    </row>
    <row r="49" spans="1:9" x14ac:dyDescent="0.3">
      <c r="H49">
        <v>2</v>
      </c>
      <c r="I49">
        <v>1</v>
      </c>
    </row>
    <row r="50" spans="1:9" x14ac:dyDescent="0.3">
      <c r="A50" s="71"/>
      <c r="B50" s="72"/>
      <c r="C50" s="72"/>
      <c r="D50" s="91"/>
      <c r="E50" s="91"/>
      <c r="F50" s="75"/>
      <c r="H50">
        <v>1</v>
      </c>
      <c r="I50">
        <v>1</v>
      </c>
    </row>
    <row r="51" spans="1:9" x14ac:dyDescent="0.3">
      <c r="A51" s="72"/>
      <c r="B51" s="72"/>
      <c r="C51" s="72"/>
      <c r="D51" s="91"/>
      <c r="E51" s="91"/>
      <c r="F51" s="75"/>
      <c r="H51">
        <v>2</v>
      </c>
      <c r="I51">
        <v>2</v>
      </c>
    </row>
    <row r="52" spans="1:9" x14ac:dyDescent="0.3">
      <c r="A52" s="72"/>
      <c r="B52" s="93"/>
      <c r="C52" s="93"/>
      <c r="D52" s="94"/>
      <c r="E52" s="94"/>
      <c r="F52" s="73"/>
      <c r="H52">
        <v>2</v>
      </c>
      <c r="I52">
        <v>1</v>
      </c>
    </row>
    <row r="53" spans="1:9" x14ac:dyDescent="0.3">
      <c r="A53" s="72"/>
      <c r="B53" s="93"/>
      <c r="C53" s="93"/>
      <c r="D53" s="94"/>
      <c r="E53" s="94"/>
      <c r="F53" s="73"/>
      <c r="I53">
        <v>2</v>
      </c>
    </row>
    <row r="54" spans="1:9" x14ac:dyDescent="0.3">
      <c r="A54" s="71"/>
      <c r="B54" s="71"/>
      <c r="C54" s="74"/>
      <c r="D54" s="74"/>
      <c r="E54" s="74"/>
      <c r="F54" s="73"/>
    </row>
    <row r="55" spans="1:9" x14ac:dyDescent="0.3">
      <c r="A55" s="73"/>
      <c r="B55" s="73"/>
      <c r="C55" s="73"/>
      <c r="D55" s="73"/>
      <c r="E55" s="73"/>
      <c r="F55" s="73"/>
    </row>
    <row r="56" spans="1:9" x14ac:dyDescent="0.3">
      <c r="A56" s="73"/>
      <c r="B56" s="90"/>
      <c r="C56" s="90"/>
      <c r="D56" s="90"/>
      <c r="E56" s="90"/>
      <c r="F56" s="73"/>
    </row>
    <row r="57" spans="1:9" x14ac:dyDescent="0.3">
      <c r="A57" s="73"/>
      <c r="B57" s="90"/>
      <c r="C57" s="90"/>
      <c r="D57" s="90"/>
      <c r="E57" s="90"/>
      <c r="F57" s="73"/>
    </row>
    <row r="58" spans="1:9" x14ac:dyDescent="0.3">
      <c r="A58" s="73"/>
      <c r="B58" s="73"/>
      <c r="C58" s="73"/>
      <c r="D58" s="73"/>
      <c r="E58" s="73"/>
      <c r="F58" s="73"/>
    </row>
    <row r="59" spans="1:9" x14ac:dyDescent="0.3">
      <c r="A59" s="73"/>
      <c r="B59" s="73"/>
      <c r="C59" s="73"/>
      <c r="D59" s="73"/>
      <c r="E59" s="73"/>
      <c r="F59" s="73"/>
    </row>
  </sheetData>
  <mergeCells count="38">
    <mergeCell ref="B44:C44"/>
    <mergeCell ref="D44:E44"/>
    <mergeCell ref="B41:C41"/>
    <mergeCell ref="D41:E41"/>
    <mergeCell ref="B42:C42"/>
    <mergeCell ref="D42:E42"/>
    <mergeCell ref="B43:C43"/>
    <mergeCell ref="D43:E43"/>
    <mergeCell ref="B38:C38"/>
    <mergeCell ref="D38:E38"/>
    <mergeCell ref="B39:C39"/>
    <mergeCell ref="D39:E39"/>
    <mergeCell ref="B40:C40"/>
    <mergeCell ref="D40:E40"/>
    <mergeCell ref="D32:E33"/>
    <mergeCell ref="B1:D1"/>
    <mergeCell ref="A2:A4"/>
    <mergeCell ref="E10:F12"/>
    <mergeCell ref="A18:A21"/>
    <mergeCell ref="B18:B21"/>
    <mergeCell ref="C18:C21"/>
    <mergeCell ref="D18:D21"/>
    <mergeCell ref="E18:E21"/>
    <mergeCell ref="F18:F21"/>
    <mergeCell ref="N18:N20"/>
    <mergeCell ref="O5:Q5"/>
    <mergeCell ref="N6:N8"/>
    <mergeCell ref="O11:Q11"/>
    <mergeCell ref="N12:N14"/>
    <mergeCell ref="O17:Q17"/>
    <mergeCell ref="F32:F33"/>
    <mergeCell ref="G32:G33"/>
    <mergeCell ref="B34:C34"/>
    <mergeCell ref="D34:E34"/>
    <mergeCell ref="B35:C35"/>
    <mergeCell ref="D35:E35"/>
    <mergeCell ref="A32:A33"/>
    <mergeCell ref="B32:C33"/>
  </mergeCells>
  <conditionalFormatting sqref="A55:E55 A56:B57 D56:D57 A58:E59">
    <cfRule type="cellIs" dxfId="150" priority="5" operator="equal">
      <formula>1</formula>
    </cfRule>
    <cfRule type="cellIs" dxfId="149" priority="6" operator="equal">
      <formula>2</formula>
    </cfRule>
    <cfRule type="cellIs" dxfId="148" priority="7" operator="equal">
      <formula>1</formula>
    </cfRule>
    <cfRule type="cellIs" dxfId="147" priority="8" operator="equal">
      <formula>2</formula>
    </cfRule>
  </conditionalFormatting>
  <conditionalFormatting sqref="H5:J53">
    <cfRule type="cellIs" dxfId="146" priority="9" operator="equal">
      <formula>1</formula>
    </cfRule>
    <cfRule type="cellIs" dxfId="145" priority="10" operator="equal">
      <formula>2</formula>
    </cfRule>
  </conditionalFormatting>
  <conditionalFormatting sqref="A43:B44 A45:E46 D42:D44 B42">
    <cfRule type="cellIs" dxfId="75" priority="1" operator="equal">
      <formula>1</formula>
    </cfRule>
    <cfRule type="cellIs" dxfId="74" priority="2" operator="equal">
      <formula>2</formula>
    </cfRule>
    <cfRule type="cellIs" dxfId="73" priority="3" operator="equal">
      <formula>1</formula>
    </cfRule>
    <cfRule type="cellIs" dxfId="72" priority="4" operator="equal">
      <formula>2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DD740-F610-40CD-B860-62D82AC138FA}">
  <dimension ref="A1:W59"/>
  <sheetViews>
    <sheetView topLeftCell="A27" workbookViewId="0">
      <selection activeCell="C49" sqref="C49"/>
    </sheetView>
  </sheetViews>
  <sheetFormatPr defaultRowHeight="14.4" x14ac:dyDescent="0.3"/>
  <cols>
    <col min="3" max="3" width="10" customWidth="1"/>
  </cols>
  <sheetData>
    <row r="1" spans="1:23" x14ac:dyDescent="0.3">
      <c r="A1" s="5"/>
      <c r="B1" s="53" t="s">
        <v>90</v>
      </c>
      <c r="C1" s="53"/>
      <c r="D1" s="53"/>
      <c r="E1" s="5"/>
    </row>
    <row r="2" spans="1:23" ht="43.2" x14ac:dyDescent="0.3">
      <c r="A2" s="53" t="s">
        <v>89</v>
      </c>
      <c r="B2" s="5"/>
      <c r="C2" s="5" t="s">
        <v>87</v>
      </c>
      <c r="D2" s="37" t="s">
        <v>50</v>
      </c>
      <c r="E2" s="5" t="s">
        <v>88</v>
      </c>
    </row>
    <row r="3" spans="1:23" x14ac:dyDescent="0.3">
      <c r="A3" s="53"/>
      <c r="B3" s="5" t="s">
        <v>87</v>
      </c>
      <c r="C3" s="7">
        <v>41</v>
      </c>
      <c r="D3" s="7">
        <v>68</v>
      </c>
      <c r="E3" s="7">
        <f>C3+D3</f>
        <v>109</v>
      </c>
    </row>
    <row r="4" spans="1:23" ht="43.2" x14ac:dyDescent="0.3">
      <c r="A4" s="53"/>
      <c r="B4" s="37" t="s">
        <v>50</v>
      </c>
      <c r="C4" s="7">
        <v>68</v>
      </c>
      <c r="D4" s="7">
        <v>37</v>
      </c>
      <c r="E4" s="7">
        <f>C4+D4</f>
        <v>105</v>
      </c>
    </row>
    <row r="5" spans="1:23" x14ac:dyDescent="0.3">
      <c r="A5" s="5" t="s">
        <v>88</v>
      </c>
      <c r="B5" s="5"/>
      <c r="C5" s="7">
        <f>C3+C4</f>
        <v>109</v>
      </c>
      <c r="D5" s="7">
        <f>D3+D4</f>
        <v>105</v>
      </c>
      <c r="E5" s="7">
        <f>E3+E4</f>
        <v>214</v>
      </c>
      <c r="H5">
        <v>2</v>
      </c>
      <c r="I5">
        <v>1</v>
      </c>
      <c r="J5">
        <v>2</v>
      </c>
      <c r="K5">
        <v>1</v>
      </c>
      <c r="L5">
        <v>1</v>
      </c>
      <c r="N5" s="5" t="s">
        <v>113</v>
      </c>
      <c r="O5" s="53" t="s">
        <v>90</v>
      </c>
      <c r="P5" s="53"/>
      <c r="Q5" s="53"/>
      <c r="R5" s="5"/>
      <c r="T5" s="9" t="s">
        <v>83</v>
      </c>
      <c r="U5" s="9" t="s">
        <v>84</v>
      </c>
      <c r="V5" s="9" t="s">
        <v>85</v>
      </c>
      <c r="W5" s="9" t="s">
        <v>86</v>
      </c>
    </row>
    <row r="6" spans="1:23" x14ac:dyDescent="0.3">
      <c r="H6">
        <v>2</v>
      </c>
      <c r="I6">
        <v>1</v>
      </c>
      <c r="J6">
        <v>2</v>
      </c>
      <c r="K6">
        <v>1</v>
      </c>
      <c r="L6">
        <v>1</v>
      </c>
      <c r="N6" s="53" t="s">
        <v>89</v>
      </c>
      <c r="O6" s="5"/>
      <c r="P6" s="5" t="s">
        <v>87</v>
      </c>
      <c r="Q6" s="37" t="s">
        <v>119</v>
      </c>
      <c r="R6" s="5" t="s">
        <v>88</v>
      </c>
      <c r="T6" s="41">
        <f>P7/(P7+Q7)</f>
        <v>0.41666666666666669</v>
      </c>
      <c r="U6" s="41">
        <f>1-T6</f>
        <v>0.58333333333333326</v>
      </c>
      <c r="V6" s="41">
        <f>Q8/(Q8+P8)</f>
        <v>0.2857142857142857</v>
      </c>
      <c r="W6" s="41">
        <f>1-V6</f>
        <v>0.7142857142857143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1</v>
      </c>
      <c r="I7">
        <v>2</v>
      </c>
      <c r="J7">
        <v>1</v>
      </c>
      <c r="K7">
        <v>2</v>
      </c>
      <c r="L7">
        <v>2</v>
      </c>
      <c r="N7" s="53"/>
      <c r="O7" s="5" t="s">
        <v>87</v>
      </c>
      <c r="P7" s="7">
        <v>10</v>
      </c>
      <c r="Q7" s="7">
        <v>14</v>
      </c>
      <c r="R7" s="7">
        <f>P7+Q7</f>
        <v>24</v>
      </c>
      <c r="T7" t="s">
        <v>116</v>
      </c>
    </row>
    <row r="8" spans="1:23" x14ac:dyDescent="0.3">
      <c r="A8" s="8">
        <f>C3/C5</f>
        <v>0.37614678899082571</v>
      </c>
      <c r="B8" s="8">
        <f>1-A8</f>
        <v>0.62385321100917435</v>
      </c>
      <c r="C8" s="8">
        <f>D4/E4</f>
        <v>0.35238095238095241</v>
      </c>
      <c r="D8" s="8">
        <f>1-C8</f>
        <v>0.64761904761904754</v>
      </c>
      <c r="H8">
        <v>2</v>
      </c>
      <c r="I8">
        <v>2</v>
      </c>
      <c r="J8">
        <v>1</v>
      </c>
      <c r="K8">
        <v>2</v>
      </c>
      <c r="L8">
        <v>1</v>
      </c>
      <c r="N8" s="53"/>
      <c r="O8" s="37" t="s">
        <v>119</v>
      </c>
      <c r="P8" s="7">
        <v>15</v>
      </c>
      <c r="Q8" s="7">
        <v>6</v>
      </c>
      <c r="R8" s="7">
        <f>P8+Q8</f>
        <v>21</v>
      </c>
    </row>
    <row r="9" spans="1:23" x14ac:dyDescent="0.3">
      <c r="H9">
        <v>1</v>
      </c>
      <c r="I9">
        <v>1</v>
      </c>
      <c r="J9">
        <v>2</v>
      </c>
      <c r="K9">
        <v>2</v>
      </c>
      <c r="L9">
        <v>2</v>
      </c>
      <c r="N9" s="5" t="s">
        <v>88</v>
      </c>
      <c r="O9" s="5"/>
      <c r="P9" s="7">
        <f>P7+P8</f>
        <v>25</v>
      </c>
      <c r="Q9" s="7">
        <f>Q7+Q8</f>
        <v>20</v>
      </c>
      <c r="R9" s="7">
        <f>R7+R8</f>
        <v>45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2</v>
      </c>
      <c r="I10">
        <v>2</v>
      </c>
      <c r="J10">
        <v>2</v>
      </c>
      <c r="K10">
        <v>1</v>
      </c>
      <c r="L10">
        <v>1</v>
      </c>
    </row>
    <row r="11" spans="1:23" x14ac:dyDescent="0.3">
      <c r="A11" s="43">
        <f>C3/E3</f>
        <v>0.37614678899082571</v>
      </c>
      <c r="B11" s="43">
        <f>1-A11</f>
        <v>0.62385321100917435</v>
      </c>
      <c r="C11" s="43">
        <f>D4/E4</f>
        <v>0.35238095238095241</v>
      </c>
      <c r="D11" s="43">
        <f>1-C11</f>
        <v>0.64761904761904754</v>
      </c>
      <c r="E11" s="59"/>
      <c r="F11" s="59"/>
      <c r="H11">
        <v>1</v>
      </c>
      <c r="I11">
        <v>1</v>
      </c>
      <c r="J11">
        <v>2</v>
      </c>
      <c r="K11">
        <v>2</v>
      </c>
      <c r="L11">
        <v>1</v>
      </c>
      <c r="N11" s="5" t="s">
        <v>114</v>
      </c>
      <c r="O11" s="53" t="s">
        <v>90</v>
      </c>
      <c r="P11" s="53"/>
      <c r="Q11" s="53"/>
      <c r="R11" s="5"/>
      <c r="T11" s="9" t="s">
        <v>83</v>
      </c>
      <c r="U11" s="9" t="s">
        <v>84</v>
      </c>
      <c r="V11" s="9" t="s">
        <v>85</v>
      </c>
      <c r="W11" s="9" t="s">
        <v>86</v>
      </c>
    </row>
    <row r="12" spans="1:23" x14ac:dyDescent="0.3">
      <c r="E12" s="59"/>
      <c r="F12" s="59"/>
      <c r="H12">
        <v>2</v>
      </c>
      <c r="I12">
        <v>1</v>
      </c>
      <c r="J12">
        <v>1</v>
      </c>
      <c r="K12">
        <v>2</v>
      </c>
      <c r="L12">
        <v>2</v>
      </c>
      <c r="N12" s="53" t="s">
        <v>89</v>
      </c>
      <c r="O12" s="5"/>
      <c r="P12" s="5" t="s">
        <v>87</v>
      </c>
      <c r="Q12" s="37" t="s">
        <v>119</v>
      </c>
      <c r="R12" s="5" t="s">
        <v>88</v>
      </c>
      <c r="T12" s="41">
        <f>P13/(P13+Q13)</f>
        <v>0.32</v>
      </c>
      <c r="U12" s="41">
        <f>1-T12</f>
        <v>0.67999999999999994</v>
      </c>
      <c r="V12" s="41">
        <f>Q14/(Q14+P14)</f>
        <v>0.2608695652173913</v>
      </c>
      <c r="W12" s="41">
        <f>1-V12</f>
        <v>0.73913043478260865</v>
      </c>
    </row>
    <row r="13" spans="1:23" x14ac:dyDescent="0.3">
      <c r="H13">
        <v>1</v>
      </c>
      <c r="I13">
        <v>2</v>
      </c>
      <c r="J13">
        <v>1</v>
      </c>
      <c r="K13">
        <v>1</v>
      </c>
      <c r="L13">
        <v>2</v>
      </c>
      <c r="N13" s="53"/>
      <c r="O13" s="5" t="s">
        <v>87</v>
      </c>
      <c r="P13" s="7">
        <v>8</v>
      </c>
      <c r="Q13" s="7">
        <v>17</v>
      </c>
      <c r="R13" s="7">
        <f>P13+Q13</f>
        <v>25</v>
      </c>
    </row>
    <row r="14" spans="1:23" x14ac:dyDescent="0.3">
      <c r="H14">
        <v>2</v>
      </c>
      <c r="I14">
        <v>1</v>
      </c>
      <c r="J14">
        <v>2</v>
      </c>
      <c r="K14">
        <v>2</v>
      </c>
      <c r="L14">
        <v>2</v>
      </c>
      <c r="N14" s="53"/>
      <c r="O14" s="37" t="s">
        <v>119</v>
      </c>
      <c r="P14" s="7">
        <v>17</v>
      </c>
      <c r="Q14" s="7">
        <v>6</v>
      </c>
      <c r="R14" s="7">
        <f>P14+Q14</f>
        <v>23</v>
      </c>
    </row>
    <row r="15" spans="1:23" x14ac:dyDescent="0.3">
      <c r="H15">
        <v>2</v>
      </c>
      <c r="I15">
        <v>1</v>
      </c>
      <c r="J15">
        <v>1</v>
      </c>
      <c r="K15">
        <v>1</v>
      </c>
      <c r="L15">
        <v>2</v>
      </c>
      <c r="N15" s="5" t="s">
        <v>88</v>
      </c>
      <c r="O15" s="5"/>
      <c r="P15" s="7">
        <f>P13+P14</f>
        <v>25</v>
      </c>
      <c r="Q15" s="7">
        <f>Q13+Q14</f>
        <v>23</v>
      </c>
      <c r="R15" s="7">
        <f>R13+R14</f>
        <v>48</v>
      </c>
    </row>
    <row r="16" spans="1:23" x14ac:dyDescent="0.3">
      <c r="H16">
        <v>1</v>
      </c>
      <c r="I16">
        <v>2</v>
      </c>
      <c r="J16">
        <v>2</v>
      </c>
      <c r="K16">
        <v>1</v>
      </c>
      <c r="L16">
        <v>1</v>
      </c>
    </row>
    <row r="17" spans="1:23" x14ac:dyDescent="0.3">
      <c r="H17">
        <v>1</v>
      </c>
      <c r="I17">
        <v>1</v>
      </c>
      <c r="J17">
        <v>2</v>
      </c>
      <c r="K17">
        <v>2</v>
      </c>
      <c r="L17">
        <v>1</v>
      </c>
      <c r="N17" s="5" t="s">
        <v>115</v>
      </c>
      <c r="O17" s="53" t="s">
        <v>90</v>
      </c>
      <c r="P17" s="53"/>
      <c r="Q17" s="53"/>
      <c r="R17" s="5"/>
      <c r="T17" s="9" t="s">
        <v>83</v>
      </c>
      <c r="U17" s="9" t="s">
        <v>84</v>
      </c>
      <c r="V17" s="9" t="s">
        <v>85</v>
      </c>
      <c r="W17" s="9" t="s">
        <v>86</v>
      </c>
    </row>
    <row r="18" spans="1:23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2</v>
      </c>
      <c r="I18">
        <v>2</v>
      </c>
      <c r="J18">
        <v>1</v>
      </c>
      <c r="K18">
        <v>2</v>
      </c>
      <c r="L18">
        <v>2</v>
      </c>
      <c r="N18" s="53" t="s">
        <v>89</v>
      </c>
      <c r="O18" s="5"/>
      <c r="P18" s="5" t="s">
        <v>87</v>
      </c>
      <c r="Q18" s="37" t="s">
        <v>119</v>
      </c>
      <c r="R18" s="5" t="s">
        <v>88</v>
      </c>
      <c r="T18" s="41">
        <f>P19/(P19+Q19)</f>
        <v>0.30434782608695654</v>
      </c>
      <c r="U18" s="41">
        <f>1-T18</f>
        <v>0.69565217391304346</v>
      </c>
      <c r="V18" s="41">
        <f>Q20/(Q20+P20)</f>
        <v>0.36</v>
      </c>
      <c r="W18" s="41">
        <f>1-V18</f>
        <v>0.64</v>
      </c>
    </row>
    <row r="19" spans="1:23" x14ac:dyDescent="0.3">
      <c r="A19" s="54"/>
      <c r="B19" s="54"/>
      <c r="C19" s="69"/>
      <c r="D19" s="54"/>
      <c r="E19" s="54"/>
      <c r="F19" s="54"/>
      <c r="H19">
        <v>1</v>
      </c>
      <c r="I19">
        <v>1</v>
      </c>
      <c r="J19">
        <v>2</v>
      </c>
      <c r="K19">
        <v>1</v>
      </c>
      <c r="L19">
        <v>2</v>
      </c>
      <c r="N19" s="53"/>
      <c r="O19" s="5" t="s">
        <v>87</v>
      </c>
      <c r="P19" s="7">
        <v>7</v>
      </c>
      <c r="Q19" s="7">
        <v>16</v>
      </c>
      <c r="R19" s="7">
        <f>P19+Q19</f>
        <v>23</v>
      </c>
    </row>
    <row r="20" spans="1:23" x14ac:dyDescent="0.3">
      <c r="A20" s="54"/>
      <c r="B20" s="54"/>
      <c r="C20" s="69"/>
      <c r="D20" s="54"/>
      <c r="E20" s="54"/>
      <c r="F20" s="54"/>
      <c r="H20">
        <v>1</v>
      </c>
      <c r="I20">
        <v>2</v>
      </c>
      <c r="J20">
        <v>1</v>
      </c>
      <c r="K20">
        <v>2</v>
      </c>
      <c r="L20">
        <v>1</v>
      </c>
      <c r="N20" s="53"/>
      <c r="O20" s="37" t="s">
        <v>119</v>
      </c>
      <c r="P20" s="7">
        <v>16</v>
      </c>
      <c r="Q20" s="7">
        <v>9</v>
      </c>
      <c r="R20" s="7">
        <f>P20+Q20</f>
        <v>25</v>
      </c>
    </row>
    <row r="21" spans="1:23" x14ac:dyDescent="0.3">
      <c r="A21" s="54"/>
      <c r="B21" s="54"/>
      <c r="C21" s="70"/>
      <c r="D21" s="54"/>
      <c r="E21" s="54"/>
      <c r="F21" s="54"/>
      <c r="H21">
        <v>2</v>
      </c>
      <c r="I21">
        <v>2</v>
      </c>
      <c r="J21">
        <v>2</v>
      </c>
      <c r="K21">
        <v>1</v>
      </c>
      <c r="L21">
        <v>1</v>
      </c>
      <c r="N21" s="5" t="s">
        <v>88</v>
      </c>
      <c r="O21" s="5"/>
      <c r="P21" s="7">
        <f>P19+P20</f>
        <v>23</v>
      </c>
      <c r="Q21" s="7">
        <f>Q19+Q20</f>
        <v>25</v>
      </c>
      <c r="R21" s="7">
        <f>R19+R20</f>
        <v>48</v>
      </c>
    </row>
    <row r="22" spans="1:23" x14ac:dyDescent="0.3">
      <c r="A22" s="37">
        <v>1</v>
      </c>
      <c r="B22" s="37">
        <v>89</v>
      </c>
      <c r="C22" s="40">
        <f>($C$4*$D$11*$A$11^0)+($D$3*$B$11*$C$11^0)</f>
        <v>86.460113586719089</v>
      </c>
      <c r="D22" s="37">
        <v>92.063000000000002</v>
      </c>
      <c r="E22" s="5" t="s">
        <v>125</v>
      </c>
      <c r="F22" s="5" t="s">
        <v>125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23" x14ac:dyDescent="0.3">
      <c r="A23" s="37">
        <v>2</v>
      </c>
      <c r="B23" s="37">
        <v>38</v>
      </c>
      <c r="C23" s="40">
        <f>($C$4*$D$11*$A$11^1)+($D$3*$B$11*$C$11^1)</f>
        <v>31.513499344692008</v>
      </c>
      <c r="D23" s="37">
        <v>31.794</v>
      </c>
      <c r="E23" s="5" t="s">
        <v>125</v>
      </c>
      <c r="F23" s="5" t="s">
        <v>125</v>
      </c>
      <c r="H23">
        <v>1</v>
      </c>
      <c r="I23">
        <v>2</v>
      </c>
      <c r="J23">
        <v>1</v>
      </c>
      <c r="K23">
        <v>2</v>
      </c>
      <c r="L23">
        <v>2</v>
      </c>
      <c r="N23" s="5" t="s">
        <v>117</v>
      </c>
      <c r="O23" s="53" t="s">
        <v>90</v>
      </c>
      <c r="P23" s="53"/>
      <c r="Q23" s="53"/>
      <c r="R23" s="5"/>
      <c r="T23" s="9" t="s">
        <v>83</v>
      </c>
      <c r="U23" s="9" t="s">
        <v>84</v>
      </c>
      <c r="V23" s="9" t="s">
        <v>85</v>
      </c>
      <c r="W23" s="9" t="s">
        <v>86</v>
      </c>
    </row>
    <row r="24" spans="1:23" x14ac:dyDescent="0.3">
      <c r="A24" s="37">
        <v>3</v>
      </c>
      <c r="B24" s="37">
        <v>10</v>
      </c>
      <c r="C24" s="40">
        <f>($C$4*$D$11*$A$11^2)+($D$3*$B$11*$C$11^2)</f>
        <v>11.498432959806824</v>
      </c>
      <c r="D24" s="37">
        <v>10.847</v>
      </c>
      <c r="E24" s="37">
        <v>5</v>
      </c>
      <c r="F24" s="5">
        <v>5</v>
      </c>
      <c r="H24">
        <v>2</v>
      </c>
      <c r="I24">
        <v>1</v>
      </c>
      <c r="J24">
        <v>1</v>
      </c>
      <c r="K24">
        <v>2</v>
      </c>
      <c r="L24">
        <v>1</v>
      </c>
      <c r="N24" s="53" t="s">
        <v>89</v>
      </c>
      <c r="O24" s="5"/>
      <c r="P24" s="5" t="s">
        <v>87</v>
      </c>
      <c r="Q24" s="37" t="s">
        <v>119</v>
      </c>
      <c r="R24" s="5" t="s">
        <v>88</v>
      </c>
      <c r="T24" s="41">
        <f>P25/(P25+Q25)</f>
        <v>0.36363636363636365</v>
      </c>
      <c r="U24" s="41">
        <f>1-T24</f>
        <v>0.63636363636363635</v>
      </c>
      <c r="V24" s="40">
        <f>Q26/(Q26+P26)</f>
        <v>0.45833333333333331</v>
      </c>
      <c r="W24" s="40">
        <f>1-V24</f>
        <v>0.54166666666666674</v>
      </c>
    </row>
    <row r="25" spans="1:23" x14ac:dyDescent="0.3">
      <c r="A25" s="37">
        <v>4</v>
      </c>
      <c r="B25" s="37">
        <v>2</v>
      </c>
      <c r="C25" s="40">
        <f>($C$4*$D$11*$A$11^3)+($D$3*$B$11*$C$11^3)</f>
        <v>4.199908738573308</v>
      </c>
      <c r="D25" s="37">
        <v>3.8220000000000001</v>
      </c>
      <c r="E25" s="5">
        <v>0</v>
      </c>
      <c r="F25" s="5">
        <v>2</v>
      </c>
      <c r="H25">
        <v>2</v>
      </c>
      <c r="I25">
        <v>2</v>
      </c>
      <c r="J25">
        <v>1</v>
      </c>
      <c r="K25">
        <v>1</v>
      </c>
      <c r="L25">
        <v>1</v>
      </c>
      <c r="N25" s="53"/>
      <c r="O25" s="5" t="s">
        <v>87</v>
      </c>
      <c r="P25" s="7">
        <v>8</v>
      </c>
      <c r="Q25" s="7">
        <v>14</v>
      </c>
      <c r="R25" s="7">
        <f>P25+Q25</f>
        <v>22</v>
      </c>
    </row>
    <row r="26" spans="1:23" x14ac:dyDescent="0.3">
      <c r="A26" s="37">
        <v>5</v>
      </c>
      <c r="B26" s="37">
        <v>1</v>
      </c>
      <c r="C26" s="40">
        <f>($C$4*$D$11*$A$11^4)+($D$3*$B$11*$C$11^4)</f>
        <v>1.5356676506943903</v>
      </c>
      <c r="D26" s="37">
        <v>1.3120000000000001</v>
      </c>
      <c r="E26" s="5">
        <v>1</v>
      </c>
      <c r="F26" s="5">
        <v>0</v>
      </c>
      <c r="H26">
        <v>1</v>
      </c>
      <c r="I26">
        <v>1</v>
      </c>
      <c r="J26">
        <v>1</v>
      </c>
      <c r="K26">
        <v>2</v>
      </c>
      <c r="L26">
        <v>1</v>
      </c>
      <c r="N26" s="53"/>
      <c r="O26" s="37" t="s">
        <v>119</v>
      </c>
      <c r="P26" s="7">
        <v>13</v>
      </c>
      <c r="Q26" s="7">
        <v>11</v>
      </c>
      <c r="R26" s="7">
        <f>P26+Q26</f>
        <v>24</v>
      </c>
    </row>
    <row r="27" spans="1:23" x14ac:dyDescent="0.3">
      <c r="A27" s="37">
        <v>6</v>
      </c>
      <c r="B27" s="37">
        <v>1</v>
      </c>
      <c r="C27" s="40">
        <f>($C$4*$D$11*$A$11^5)+($D$3*$B$11*$C$11^5)</f>
        <v>0.5620913337766813</v>
      </c>
      <c r="D27" s="37">
        <v>0.42599999999999999</v>
      </c>
      <c r="E27" s="5">
        <v>1</v>
      </c>
      <c r="F27" s="5">
        <v>0</v>
      </c>
      <c r="H27">
        <v>1</v>
      </c>
      <c r="I27">
        <v>2</v>
      </c>
      <c r="J27">
        <v>2</v>
      </c>
      <c r="K27">
        <v>1</v>
      </c>
      <c r="L27">
        <v>2</v>
      </c>
      <c r="N27" s="5" t="s">
        <v>88</v>
      </c>
      <c r="O27" s="5"/>
      <c r="P27" s="7">
        <f>P25+P26</f>
        <v>21</v>
      </c>
      <c r="Q27" s="7">
        <f>Q25+Q26</f>
        <v>25</v>
      </c>
      <c r="R27" s="7">
        <f>R25+R26</f>
        <v>46</v>
      </c>
    </row>
    <row r="28" spans="1:23" x14ac:dyDescent="0.3">
      <c r="A28" s="37">
        <v>7</v>
      </c>
      <c r="B28" s="37">
        <v>0</v>
      </c>
      <c r="C28" s="40">
        <f>($C$4*$D$11*$A$11^6)+($D$3*$B$11*$C$11^6)</f>
        <v>0.20595104542827242</v>
      </c>
      <c r="D28" s="37">
        <v>0.14099999999999999</v>
      </c>
      <c r="E28" s="5">
        <v>0</v>
      </c>
      <c r="F28" s="5">
        <v>0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23" x14ac:dyDescent="0.3">
      <c r="A29" s="37">
        <v>8</v>
      </c>
      <c r="B29" s="37">
        <v>0</v>
      </c>
      <c r="C29" s="40">
        <f>($C$4*$D$11*$A$11^7)+($D$3*$B$11*$C$11^7)</f>
        <v>7.5537550322560959E-2</v>
      </c>
      <c r="D29" s="37">
        <v>3.7999999999999999E-2</v>
      </c>
      <c r="E29" s="5">
        <v>0</v>
      </c>
      <c r="F29" s="5">
        <v>0</v>
      </c>
      <c r="H29">
        <v>2</v>
      </c>
      <c r="I29">
        <v>2</v>
      </c>
      <c r="J29">
        <v>2</v>
      </c>
      <c r="K29">
        <v>1</v>
      </c>
      <c r="L29">
        <v>1</v>
      </c>
      <c r="N29" s="5" t="s">
        <v>118</v>
      </c>
      <c r="O29" s="53" t="s">
        <v>90</v>
      </c>
      <c r="P29" s="53"/>
      <c r="Q29" s="53"/>
      <c r="R29" s="5"/>
      <c r="T29" s="9" t="s">
        <v>83</v>
      </c>
      <c r="U29" s="9" t="s">
        <v>84</v>
      </c>
      <c r="V29" s="9" t="s">
        <v>85</v>
      </c>
      <c r="W29" s="9" t="s">
        <v>86</v>
      </c>
    </row>
    <row r="30" spans="1:23" x14ac:dyDescent="0.3">
      <c r="A30" s="37" t="s">
        <v>103</v>
      </c>
      <c r="B30" s="37">
        <v>0</v>
      </c>
      <c r="C30" s="40">
        <f>($C$4*$D$11*$A$11^8)+($D$3*$B$11*$C$11^8)</f>
        <v>2.7733015174733422E-2</v>
      </c>
      <c r="D30" s="37">
        <v>1.2E-2</v>
      </c>
      <c r="E30" s="5">
        <v>0</v>
      </c>
      <c r="F30" s="5">
        <v>0</v>
      </c>
      <c r="H30">
        <v>1</v>
      </c>
      <c r="I30">
        <v>1</v>
      </c>
      <c r="J30">
        <v>2</v>
      </c>
      <c r="K30">
        <v>1</v>
      </c>
      <c r="L30">
        <v>2</v>
      </c>
      <c r="N30" s="53" t="s">
        <v>89</v>
      </c>
      <c r="O30" s="5"/>
      <c r="P30" s="5" t="s">
        <v>87</v>
      </c>
      <c r="Q30" s="37" t="s">
        <v>119</v>
      </c>
      <c r="R30" s="5" t="s">
        <v>88</v>
      </c>
      <c r="T30" s="41">
        <f>P31/(P31+Q31)</f>
        <v>0.53333333333333333</v>
      </c>
      <c r="U30" s="41">
        <f>1-T30</f>
        <v>0.46666666666666667</v>
      </c>
      <c r="V30" s="40">
        <f>Q32/(Q32+P32)</f>
        <v>0.41666666666666669</v>
      </c>
      <c r="W30" s="40">
        <f>1-V30</f>
        <v>0.58333333333333326</v>
      </c>
    </row>
    <row r="31" spans="1:23" x14ac:dyDescent="0.3">
      <c r="H31">
        <v>1</v>
      </c>
      <c r="I31">
        <v>2</v>
      </c>
      <c r="J31">
        <v>2</v>
      </c>
      <c r="K31">
        <v>1</v>
      </c>
      <c r="L31">
        <v>2</v>
      </c>
      <c r="N31" s="53"/>
      <c r="O31" s="5" t="s">
        <v>87</v>
      </c>
      <c r="P31" s="7">
        <v>8</v>
      </c>
      <c r="Q31" s="7">
        <v>7</v>
      </c>
      <c r="R31" s="7">
        <f>P31+Q31</f>
        <v>15</v>
      </c>
    </row>
    <row r="32" spans="1:23" ht="14.4" customHeight="1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1</v>
      </c>
      <c r="I32">
        <v>2</v>
      </c>
      <c r="J32">
        <v>2</v>
      </c>
      <c r="K32">
        <v>1</v>
      </c>
      <c r="L32">
        <v>1</v>
      </c>
      <c r="N32" s="53"/>
      <c r="O32" s="37" t="s">
        <v>119</v>
      </c>
      <c r="P32" s="7">
        <v>7</v>
      </c>
      <c r="Q32" s="7">
        <v>5</v>
      </c>
      <c r="R32" s="7">
        <f>P32+Q32</f>
        <v>12</v>
      </c>
    </row>
    <row r="33" spans="1:18" x14ac:dyDescent="0.3">
      <c r="A33" s="53"/>
      <c r="B33" s="54"/>
      <c r="C33" s="54"/>
      <c r="D33" s="54"/>
      <c r="E33" s="54"/>
      <c r="F33" s="53"/>
      <c r="G33" s="53"/>
      <c r="H33">
        <v>2</v>
      </c>
      <c r="I33">
        <v>1</v>
      </c>
      <c r="J33">
        <v>1</v>
      </c>
      <c r="K33">
        <v>2</v>
      </c>
      <c r="N33" s="5" t="s">
        <v>88</v>
      </c>
      <c r="O33" s="5"/>
      <c r="P33" s="7">
        <f>P31+P32</f>
        <v>15</v>
      </c>
      <c r="Q33" s="7">
        <f>Q31+Q32</f>
        <v>12</v>
      </c>
      <c r="R33" s="7">
        <f>R31+R32</f>
        <v>27</v>
      </c>
    </row>
    <row r="34" spans="1:18" x14ac:dyDescent="0.3">
      <c r="A34" s="5" t="s">
        <v>87</v>
      </c>
      <c r="B34" s="64">
        <f>E24+E25+E26+E27+E28+E29+E30</f>
        <v>7</v>
      </c>
      <c r="C34" s="65"/>
      <c r="D34" s="66">
        <f>E24*1+E25*2+E26*3+E27*4+E28*5+E29*6+E30*7</f>
        <v>12</v>
      </c>
      <c r="E34" s="67"/>
      <c r="F34" s="48">
        <f>B34/D34</f>
        <v>0.58333333333333337</v>
      </c>
      <c r="G34" s="49">
        <f>F34</f>
        <v>0.58333333333333337</v>
      </c>
      <c r="H34">
        <v>1</v>
      </c>
      <c r="I34">
        <v>2</v>
      </c>
      <c r="J34">
        <v>2</v>
      </c>
      <c r="K34">
        <v>2</v>
      </c>
    </row>
    <row r="35" spans="1:18" x14ac:dyDescent="0.3">
      <c r="A35" s="37" t="s">
        <v>119</v>
      </c>
      <c r="B35" s="64">
        <f>F24+F25+F26+F27+F28+F29+F30</f>
        <v>7</v>
      </c>
      <c r="C35" s="65"/>
      <c r="D35" s="66">
        <f>F24*1+F25*2+F26*3+F27*4+F28*5+F29*6+F30*7</f>
        <v>9</v>
      </c>
      <c r="E35" s="67"/>
      <c r="F35" s="48">
        <f>B35/D35</f>
        <v>0.77777777777777779</v>
      </c>
      <c r="G35" s="49">
        <f>F35</f>
        <v>0.77777777777777779</v>
      </c>
      <c r="H35">
        <v>1</v>
      </c>
      <c r="I35">
        <v>2</v>
      </c>
      <c r="J35">
        <v>1</v>
      </c>
      <c r="K35">
        <v>1</v>
      </c>
    </row>
    <row r="36" spans="1:18" x14ac:dyDescent="0.3">
      <c r="H36">
        <v>2</v>
      </c>
      <c r="I36">
        <v>2</v>
      </c>
      <c r="J36">
        <v>2</v>
      </c>
      <c r="K36">
        <v>2</v>
      </c>
    </row>
    <row r="37" spans="1:18" x14ac:dyDescent="0.3">
      <c r="H37">
        <v>2</v>
      </c>
      <c r="I37">
        <v>1</v>
      </c>
      <c r="J37">
        <v>1</v>
      </c>
      <c r="K37">
        <v>2</v>
      </c>
    </row>
    <row r="38" spans="1:18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1</v>
      </c>
      <c r="I38">
        <v>1</v>
      </c>
      <c r="J38">
        <v>2</v>
      </c>
      <c r="K38">
        <v>2</v>
      </c>
    </row>
    <row r="39" spans="1:18" x14ac:dyDescent="0.3">
      <c r="A39" s="80" t="s">
        <v>87</v>
      </c>
      <c r="B39" s="83">
        <v>7</v>
      </c>
      <c r="C39" s="83"/>
      <c r="D39" s="92">
        <v>41</v>
      </c>
      <c r="E39" s="92"/>
      <c r="F39" s="82">
        <f>SUM(B39+D39)</f>
        <v>48</v>
      </c>
      <c r="H39">
        <v>2</v>
      </c>
      <c r="I39">
        <v>2</v>
      </c>
      <c r="J39">
        <v>1</v>
      </c>
      <c r="K39">
        <v>1</v>
      </c>
    </row>
    <row r="40" spans="1:18" x14ac:dyDescent="0.3">
      <c r="A40" s="80" t="s">
        <v>119</v>
      </c>
      <c r="B40" s="83">
        <v>7</v>
      </c>
      <c r="C40" s="83"/>
      <c r="D40" s="92">
        <v>37</v>
      </c>
      <c r="E40" s="92"/>
      <c r="F40" s="82">
        <f>SUM(B40+D40)</f>
        <v>44</v>
      </c>
      <c r="H40">
        <v>1</v>
      </c>
      <c r="I40">
        <v>1</v>
      </c>
      <c r="J40">
        <v>2</v>
      </c>
      <c r="K40">
        <v>2</v>
      </c>
    </row>
    <row r="41" spans="1:18" x14ac:dyDescent="0.3">
      <c r="A41" s="85"/>
      <c r="B41" s="86">
        <f>SUM(B39:B40)</f>
        <v>14</v>
      </c>
      <c r="C41" s="86"/>
      <c r="D41" s="87">
        <f>SUM(D39:D40)</f>
        <v>78</v>
      </c>
      <c r="E41" s="87"/>
      <c r="F41" s="82">
        <f>SUM(F39:F40)</f>
        <v>92</v>
      </c>
      <c r="H41">
        <v>2</v>
      </c>
      <c r="I41">
        <v>1</v>
      </c>
      <c r="J41">
        <v>1</v>
      </c>
      <c r="K41">
        <v>1</v>
      </c>
    </row>
    <row r="42" spans="1:18" x14ac:dyDescent="0.3">
      <c r="A42" s="40"/>
      <c r="B42" s="84" t="s">
        <v>134</v>
      </c>
      <c r="C42" s="84"/>
      <c r="D42" s="84" t="s">
        <v>132</v>
      </c>
      <c r="E42" s="84"/>
      <c r="F42" s="73"/>
      <c r="H42">
        <v>1</v>
      </c>
      <c r="I42">
        <v>1</v>
      </c>
      <c r="J42">
        <v>2</v>
      </c>
      <c r="K42">
        <v>2</v>
      </c>
    </row>
    <row r="43" spans="1:18" x14ac:dyDescent="0.3">
      <c r="A43" s="82" t="s">
        <v>87</v>
      </c>
      <c r="B43" s="81">
        <f>B41*F39/F41</f>
        <v>7.3043478260869561</v>
      </c>
      <c r="C43" s="81"/>
      <c r="D43" s="81">
        <f>D41*F39/F41</f>
        <v>40.695652173913047</v>
      </c>
      <c r="E43" s="81"/>
      <c r="F43" s="73"/>
      <c r="H43">
        <v>1</v>
      </c>
      <c r="I43">
        <v>2</v>
      </c>
      <c r="J43">
        <v>2</v>
      </c>
      <c r="K43">
        <v>1</v>
      </c>
    </row>
    <row r="44" spans="1:18" x14ac:dyDescent="0.3">
      <c r="A44" s="82" t="s">
        <v>119</v>
      </c>
      <c r="B44" s="81">
        <f>B41*F40/F41</f>
        <v>6.6956521739130439</v>
      </c>
      <c r="C44" s="81"/>
      <c r="D44" s="81">
        <f>D41*F40/F41</f>
        <v>37.304347826086953</v>
      </c>
      <c r="E44" s="81"/>
      <c r="F44" s="73"/>
      <c r="H44">
        <v>2</v>
      </c>
      <c r="I44">
        <v>1</v>
      </c>
      <c r="J44">
        <v>1</v>
      </c>
      <c r="K44">
        <v>2</v>
      </c>
    </row>
    <row r="45" spans="1:18" x14ac:dyDescent="0.3">
      <c r="A45" s="88"/>
      <c r="B45" s="88"/>
      <c r="C45" s="88"/>
      <c r="D45" s="88"/>
      <c r="E45" s="88"/>
      <c r="F45" s="73"/>
      <c r="H45">
        <v>2</v>
      </c>
      <c r="I45">
        <v>2</v>
      </c>
      <c r="J45">
        <v>2</v>
      </c>
      <c r="K45">
        <v>1</v>
      </c>
    </row>
    <row r="46" spans="1:18" x14ac:dyDescent="0.3">
      <c r="A46" s="88" t="s">
        <v>135</v>
      </c>
      <c r="B46" s="89">
        <f>CHITEST(B39:E40,B43:E44)</f>
        <v>0.99854276772417927</v>
      </c>
      <c r="C46" s="88"/>
      <c r="D46" s="88"/>
      <c r="E46" s="88"/>
      <c r="F46" s="73"/>
      <c r="H46">
        <v>1</v>
      </c>
      <c r="I46">
        <v>2</v>
      </c>
      <c r="J46">
        <v>2</v>
      </c>
      <c r="K46">
        <v>2</v>
      </c>
    </row>
    <row r="47" spans="1:18" x14ac:dyDescent="0.3">
      <c r="H47">
        <v>1</v>
      </c>
      <c r="I47">
        <v>1</v>
      </c>
      <c r="J47">
        <v>1</v>
      </c>
      <c r="K47">
        <v>2</v>
      </c>
    </row>
    <row r="48" spans="1:18" x14ac:dyDescent="0.3">
      <c r="H48">
        <v>2</v>
      </c>
      <c r="I48">
        <v>1</v>
      </c>
      <c r="J48">
        <v>2</v>
      </c>
      <c r="K48">
        <v>2</v>
      </c>
    </row>
    <row r="49" spans="1:11" x14ac:dyDescent="0.3">
      <c r="H49">
        <v>2</v>
      </c>
      <c r="I49">
        <v>2</v>
      </c>
      <c r="J49">
        <v>1</v>
      </c>
      <c r="K49">
        <v>1</v>
      </c>
    </row>
    <row r="50" spans="1:11" x14ac:dyDescent="0.3">
      <c r="A50" s="71"/>
      <c r="B50" s="72"/>
      <c r="C50" s="72"/>
      <c r="D50" s="91"/>
      <c r="E50" s="91"/>
      <c r="F50" s="75"/>
      <c r="H50">
        <v>1</v>
      </c>
      <c r="I50">
        <v>1</v>
      </c>
      <c r="J50">
        <v>1</v>
      </c>
      <c r="K50">
        <v>2</v>
      </c>
    </row>
    <row r="51" spans="1:11" x14ac:dyDescent="0.3">
      <c r="A51" s="72"/>
      <c r="B51" s="72"/>
      <c r="C51" s="72"/>
      <c r="D51" s="91"/>
      <c r="E51" s="91"/>
      <c r="F51" s="75"/>
      <c r="I51">
        <v>2</v>
      </c>
      <c r="J51">
        <v>2</v>
      </c>
      <c r="K51">
        <v>2</v>
      </c>
    </row>
    <row r="52" spans="1:11" x14ac:dyDescent="0.3">
      <c r="A52" s="72"/>
      <c r="B52" s="93"/>
      <c r="C52" s="93"/>
      <c r="D52" s="94"/>
      <c r="E52" s="94"/>
      <c r="F52" s="73"/>
      <c r="I52">
        <v>1</v>
      </c>
      <c r="J52">
        <v>1</v>
      </c>
    </row>
    <row r="53" spans="1:11" x14ac:dyDescent="0.3">
      <c r="A53" s="72"/>
      <c r="B53" s="93"/>
      <c r="C53" s="93"/>
      <c r="D53" s="94"/>
      <c r="E53" s="94"/>
      <c r="F53" s="73"/>
      <c r="I53">
        <v>1</v>
      </c>
      <c r="J53">
        <v>2</v>
      </c>
    </row>
    <row r="54" spans="1:11" x14ac:dyDescent="0.3">
      <c r="A54" s="71"/>
      <c r="B54" s="71"/>
      <c r="C54" s="74"/>
      <c r="D54" s="74"/>
      <c r="E54" s="74"/>
      <c r="F54" s="73"/>
    </row>
    <row r="55" spans="1:11" x14ac:dyDescent="0.3">
      <c r="A55" s="73"/>
      <c r="B55" s="73"/>
      <c r="C55" s="73"/>
      <c r="D55" s="73"/>
      <c r="E55" s="73"/>
      <c r="F55" s="73"/>
    </row>
    <row r="56" spans="1:11" x14ac:dyDescent="0.3">
      <c r="A56" s="73"/>
      <c r="B56" s="90"/>
      <c r="C56" s="90"/>
      <c r="D56" s="90"/>
      <c r="E56" s="90"/>
      <c r="F56" s="73"/>
    </row>
    <row r="57" spans="1:11" x14ac:dyDescent="0.3">
      <c r="A57" s="73"/>
      <c r="B57" s="90"/>
      <c r="C57" s="90"/>
      <c r="D57" s="90"/>
      <c r="E57" s="90"/>
      <c r="F57" s="73"/>
    </row>
    <row r="58" spans="1:11" x14ac:dyDescent="0.3">
      <c r="A58" s="73"/>
      <c r="B58" s="73"/>
      <c r="C58" s="73"/>
      <c r="D58" s="73"/>
      <c r="E58" s="73"/>
      <c r="F58" s="73"/>
    </row>
    <row r="59" spans="1:11" x14ac:dyDescent="0.3">
      <c r="A59" s="73"/>
      <c r="B59" s="73"/>
      <c r="C59" s="73"/>
      <c r="D59" s="73"/>
      <c r="E59" s="73"/>
      <c r="F59" s="73"/>
    </row>
  </sheetData>
  <mergeCells count="42">
    <mergeCell ref="B44:C44"/>
    <mergeCell ref="D44:E44"/>
    <mergeCell ref="B41:C41"/>
    <mergeCell ref="D41:E41"/>
    <mergeCell ref="B42:C42"/>
    <mergeCell ref="D42:E42"/>
    <mergeCell ref="B43:C43"/>
    <mergeCell ref="D43:E43"/>
    <mergeCell ref="B38:C38"/>
    <mergeCell ref="D38:E38"/>
    <mergeCell ref="B39:C39"/>
    <mergeCell ref="D39:E39"/>
    <mergeCell ref="B40:C40"/>
    <mergeCell ref="D40:E40"/>
    <mergeCell ref="A32:A33"/>
    <mergeCell ref="B32:C33"/>
    <mergeCell ref="D32:E33"/>
    <mergeCell ref="G32:G33"/>
    <mergeCell ref="N18:N20"/>
    <mergeCell ref="O23:Q23"/>
    <mergeCell ref="N24:N26"/>
    <mergeCell ref="O29:Q29"/>
    <mergeCell ref="N30:N32"/>
    <mergeCell ref="O5:Q5"/>
    <mergeCell ref="N6:N8"/>
    <mergeCell ref="O11:Q11"/>
    <mergeCell ref="N12:N14"/>
    <mergeCell ref="O17:Q17"/>
    <mergeCell ref="B1:D1"/>
    <mergeCell ref="A2:A4"/>
    <mergeCell ref="E10:F12"/>
    <mergeCell ref="A18:A21"/>
    <mergeCell ref="B18:B21"/>
    <mergeCell ref="C18:C21"/>
    <mergeCell ref="D18:D21"/>
    <mergeCell ref="E18:E21"/>
    <mergeCell ref="F18:F21"/>
    <mergeCell ref="F32:F33"/>
    <mergeCell ref="B34:C34"/>
    <mergeCell ref="D34:E34"/>
    <mergeCell ref="B35:C35"/>
    <mergeCell ref="D35:E35"/>
  </mergeCells>
  <conditionalFormatting sqref="A55:E55 A56:B57 D56:D57 A58:E59">
    <cfRule type="cellIs" dxfId="144" priority="5" operator="equal">
      <formula>1</formula>
    </cfRule>
    <cfRule type="cellIs" dxfId="143" priority="6" operator="equal">
      <formula>2</formula>
    </cfRule>
    <cfRule type="cellIs" dxfId="142" priority="7" operator="equal">
      <formula>1</formula>
    </cfRule>
    <cfRule type="cellIs" dxfId="141" priority="8" operator="equal">
      <formula>2</formula>
    </cfRule>
  </conditionalFormatting>
  <conditionalFormatting sqref="H5:L53">
    <cfRule type="cellIs" dxfId="140" priority="9" operator="equal">
      <formula>1</formula>
    </cfRule>
    <cfRule type="cellIs" dxfId="139" priority="10" operator="equal">
      <formula>2</formula>
    </cfRule>
  </conditionalFormatting>
  <conditionalFormatting sqref="A43:B44 A45:E46 D42:D44 B42">
    <cfRule type="cellIs" dxfId="71" priority="1" operator="equal">
      <formula>1</formula>
    </cfRule>
    <cfRule type="cellIs" dxfId="70" priority="2" operator="equal">
      <formula>2</formula>
    </cfRule>
    <cfRule type="cellIs" dxfId="69" priority="3" operator="equal">
      <formula>1</formula>
    </cfRule>
    <cfRule type="cellIs" dxfId="68" priority="4" operator="equal">
      <formula>2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CA32-3A12-4E80-91DA-AC63216C10FC}">
  <dimension ref="A1:W47"/>
  <sheetViews>
    <sheetView topLeftCell="A22" workbookViewId="0">
      <selection activeCell="D41" sqref="D41:E41"/>
    </sheetView>
  </sheetViews>
  <sheetFormatPr defaultRowHeight="14.4" x14ac:dyDescent="0.3"/>
  <cols>
    <col min="3" max="3" width="9.77734375" customWidth="1"/>
  </cols>
  <sheetData>
    <row r="1" spans="1:23" x14ac:dyDescent="0.3">
      <c r="A1" s="5"/>
      <c r="B1" s="53" t="s">
        <v>90</v>
      </c>
      <c r="C1" s="53"/>
      <c r="D1" s="53"/>
      <c r="E1" s="5"/>
      <c r="H1">
        <v>2</v>
      </c>
      <c r="I1">
        <v>1</v>
      </c>
      <c r="J1">
        <v>2</v>
      </c>
      <c r="K1">
        <v>1</v>
      </c>
      <c r="N1" s="5" t="s">
        <v>113</v>
      </c>
      <c r="O1" s="53" t="s">
        <v>90</v>
      </c>
      <c r="P1" s="53"/>
      <c r="Q1" s="53"/>
      <c r="R1" s="5"/>
      <c r="T1" s="9" t="s">
        <v>83</v>
      </c>
      <c r="U1" s="9" t="s">
        <v>84</v>
      </c>
      <c r="V1" s="9" t="s">
        <v>85</v>
      </c>
      <c r="W1" s="9" t="s">
        <v>86</v>
      </c>
    </row>
    <row r="2" spans="1:23" x14ac:dyDescent="0.3">
      <c r="A2" s="53" t="s">
        <v>89</v>
      </c>
      <c r="B2" s="5"/>
      <c r="C2" s="5" t="s">
        <v>87</v>
      </c>
      <c r="D2" s="5" t="s">
        <v>53</v>
      </c>
      <c r="E2" s="5" t="s">
        <v>88</v>
      </c>
      <c r="H2">
        <v>1</v>
      </c>
      <c r="I2">
        <v>1</v>
      </c>
      <c r="J2">
        <v>2</v>
      </c>
      <c r="K2">
        <v>1</v>
      </c>
      <c r="N2" s="53" t="s">
        <v>89</v>
      </c>
      <c r="O2" s="5"/>
      <c r="P2" s="5" t="s">
        <v>87</v>
      </c>
      <c r="Q2" s="5" t="s">
        <v>53</v>
      </c>
      <c r="R2" s="5" t="s">
        <v>88</v>
      </c>
      <c r="T2" s="41">
        <f>P3/(P3+Q3)</f>
        <v>0.33333333333333331</v>
      </c>
      <c r="U2" s="41">
        <f>1-T2</f>
        <v>0.66666666666666674</v>
      </c>
      <c r="V2" s="41">
        <f>Q4/(Q4+P4)</f>
        <v>0.22727272727272727</v>
      </c>
      <c r="W2" s="41">
        <f>1-V2</f>
        <v>0.77272727272727271</v>
      </c>
    </row>
    <row r="3" spans="1:23" x14ac:dyDescent="0.3">
      <c r="A3" s="53"/>
      <c r="B3" s="5" t="s">
        <v>87</v>
      </c>
      <c r="C3" s="7">
        <v>36</v>
      </c>
      <c r="D3" s="7">
        <v>58</v>
      </c>
      <c r="E3" s="7">
        <f>C3+D3</f>
        <v>94</v>
      </c>
      <c r="H3">
        <v>2</v>
      </c>
      <c r="I3">
        <v>2</v>
      </c>
      <c r="J3">
        <v>1</v>
      </c>
      <c r="K3">
        <v>2</v>
      </c>
      <c r="N3" s="53"/>
      <c r="O3" s="5" t="s">
        <v>87</v>
      </c>
      <c r="P3" s="7">
        <v>8</v>
      </c>
      <c r="Q3" s="7">
        <v>16</v>
      </c>
      <c r="R3" s="7">
        <f>P3+Q3</f>
        <v>24</v>
      </c>
      <c r="T3" t="s">
        <v>116</v>
      </c>
    </row>
    <row r="4" spans="1:23" x14ac:dyDescent="0.3">
      <c r="A4" s="53"/>
      <c r="B4" s="5" t="s">
        <v>53</v>
      </c>
      <c r="C4" s="7">
        <v>59</v>
      </c>
      <c r="D4" s="7">
        <v>22</v>
      </c>
      <c r="E4" s="7">
        <f>C4+D4</f>
        <v>81</v>
      </c>
      <c r="H4">
        <v>1</v>
      </c>
      <c r="I4">
        <v>2</v>
      </c>
      <c r="J4">
        <v>1</v>
      </c>
      <c r="K4">
        <v>1</v>
      </c>
      <c r="N4" s="53"/>
      <c r="O4" s="5" t="s">
        <v>53</v>
      </c>
      <c r="P4" s="7">
        <v>17</v>
      </c>
      <c r="Q4" s="7">
        <v>5</v>
      </c>
      <c r="R4" s="7">
        <f>P4+Q4</f>
        <v>22</v>
      </c>
    </row>
    <row r="5" spans="1:23" x14ac:dyDescent="0.3">
      <c r="A5" s="5" t="s">
        <v>88</v>
      </c>
      <c r="B5" s="5"/>
      <c r="C5" s="7">
        <f>C3+C4</f>
        <v>95</v>
      </c>
      <c r="D5" s="7">
        <f>D3+D4</f>
        <v>80</v>
      </c>
      <c r="E5" s="7">
        <f>E3+E4</f>
        <v>175</v>
      </c>
      <c r="H5">
        <v>2</v>
      </c>
      <c r="I5">
        <v>1</v>
      </c>
      <c r="J5">
        <v>2</v>
      </c>
      <c r="K5">
        <v>1</v>
      </c>
      <c r="N5" s="5" t="s">
        <v>88</v>
      </c>
      <c r="O5" s="5"/>
      <c r="P5" s="7">
        <f>P3+P4</f>
        <v>25</v>
      </c>
      <c r="Q5" s="7">
        <f>Q3+Q4</f>
        <v>21</v>
      </c>
      <c r="R5" s="7">
        <f>R3+R4</f>
        <v>46</v>
      </c>
    </row>
    <row r="6" spans="1:23" x14ac:dyDescent="0.3">
      <c r="H6">
        <v>1</v>
      </c>
      <c r="I6">
        <v>2</v>
      </c>
      <c r="J6">
        <v>1</v>
      </c>
      <c r="K6">
        <v>2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2</v>
      </c>
      <c r="I7">
        <v>2</v>
      </c>
      <c r="J7">
        <v>2</v>
      </c>
      <c r="K7">
        <v>2</v>
      </c>
      <c r="N7" s="5" t="s">
        <v>114</v>
      </c>
      <c r="O7" s="53" t="s">
        <v>90</v>
      </c>
      <c r="P7" s="53"/>
      <c r="Q7" s="53"/>
      <c r="R7" s="5"/>
      <c r="T7" s="9" t="s">
        <v>83</v>
      </c>
      <c r="U7" s="9" t="s">
        <v>84</v>
      </c>
      <c r="V7" s="9" t="s">
        <v>85</v>
      </c>
      <c r="W7" s="9" t="s">
        <v>86</v>
      </c>
    </row>
    <row r="8" spans="1:23" x14ac:dyDescent="0.3">
      <c r="A8" s="8">
        <f>C3/C5</f>
        <v>0.37894736842105264</v>
      </c>
      <c r="B8" s="8">
        <f>1-A8</f>
        <v>0.6210526315789473</v>
      </c>
      <c r="C8" s="8">
        <f>D4/E4</f>
        <v>0.27160493827160492</v>
      </c>
      <c r="D8" s="8">
        <f>1-C8</f>
        <v>0.72839506172839508</v>
      </c>
      <c r="H8">
        <v>2</v>
      </c>
      <c r="I8">
        <v>1</v>
      </c>
      <c r="J8">
        <v>2</v>
      </c>
      <c r="K8">
        <v>1</v>
      </c>
      <c r="N8" s="53" t="s">
        <v>89</v>
      </c>
      <c r="O8" s="5"/>
      <c r="P8" s="5" t="s">
        <v>87</v>
      </c>
      <c r="Q8" s="5" t="s">
        <v>53</v>
      </c>
      <c r="R8" s="5" t="s">
        <v>88</v>
      </c>
      <c r="T8" s="41">
        <f>P9/(P9+Q9)</f>
        <v>0.52</v>
      </c>
      <c r="U8" s="41">
        <f>1-T8</f>
        <v>0.48</v>
      </c>
      <c r="V8" s="41">
        <f>Q10/(Q10+P10)</f>
        <v>0.25</v>
      </c>
      <c r="W8" s="41">
        <f>1-V8</f>
        <v>0.75</v>
      </c>
    </row>
    <row r="9" spans="1:23" x14ac:dyDescent="0.3">
      <c r="H9">
        <v>1</v>
      </c>
      <c r="I9">
        <v>1</v>
      </c>
      <c r="J9">
        <v>1</v>
      </c>
      <c r="K9">
        <v>2</v>
      </c>
      <c r="N9" s="53"/>
      <c r="O9" s="5" t="s">
        <v>87</v>
      </c>
      <c r="P9" s="7">
        <v>13</v>
      </c>
      <c r="Q9" s="7">
        <v>12</v>
      </c>
      <c r="R9" s="7">
        <f>P9+Q9</f>
        <v>25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2</v>
      </c>
      <c r="I10">
        <v>1</v>
      </c>
      <c r="J10">
        <v>2</v>
      </c>
      <c r="K10">
        <v>1</v>
      </c>
      <c r="N10" s="53"/>
      <c r="O10" s="5" t="s">
        <v>53</v>
      </c>
      <c r="P10" s="7">
        <v>12</v>
      </c>
      <c r="Q10" s="7">
        <v>4</v>
      </c>
      <c r="R10" s="7">
        <f>P10+Q10</f>
        <v>16</v>
      </c>
    </row>
    <row r="11" spans="1:23" x14ac:dyDescent="0.3">
      <c r="A11" s="43">
        <f>C3/E3</f>
        <v>0.38297872340425532</v>
      </c>
      <c r="B11" s="43">
        <f>1-A11</f>
        <v>0.61702127659574468</v>
      </c>
      <c r="C11" s="43">
        <f>D4/E4</f>
        <v>0.27160493827160492</v>
      </c>
      <c r="D11" s="43">
        <f>1-C11</f>
        <v>0.72839506172839508</v>
      </c>
      <c r="E11" s="59"/>
      <c r="F11" s="59"/>
      <c r="H11">
        <v>1</v>
      </c>
      <c r="I11">
        <v>1</v>
      </c>
      <c r="J11">
        <v>1</v>
      </c>
      <c r="K11">
        <v>1</v>
      </c>
      <c r="N11" s="5" t="s">
        <v>88</v>
      </c>
      <c r="O11" s="5"/>
      <c r="P11" s="7">
        <f>P9+P10</f>
        <v>25</v>
      </c>
      <c r="Q11" s="7">
        <f>Q9+Q10</f>
        <v>16</v>
      </c>
      <c r="R11" s="7">
        <f>R9+R10</f>
        <v>41</v>
      </c>
    </row>
    <row r="12" spans="1:23" x14ac:dyDescent="0.3">
      <c r="E12" s="59"/>
      <c r="F12" s="59"/>
      <c r="H12">
        <v>2</v>
      </c>
      <c r="I12">
        <v>2</v>
      </c>
      <c r="J12">
        <v>2</v>
      </c>
      <c r="K12">
        <v>2</v>
      </c>
    </row>
    <row r="13" spans="1:23" x14ac:dyDescent="0.3">
      <c r="H13">
        <v>1</v>
      </c>
      <c r="I13">
        <v>1</v>
      </c>
      <c r="J13">
        <v>1</v>
      </c>
      <c r="K13">
        <v>2</v>
      </c>
      <c r="N13" s="5" t="s">
        <v>115</v>
      </c>
      <c r="O13" s="53" t="s">
        <v>90</v>
      </c>
      <c r="P13" s="53"/>
      <c r="Q13" s="53"/>
      <c r="R13" s="5"/>
      <c r="T13" s="9" t="s">
        <v>83</v>
      </c>
      <c r="U13" s="9" t="s">
        <v>84</v>
      </c>
      <c r="V13" s="9" t="s">
        <v>85</v>
      </c>
      <c r="W13" s="9" t="s">
        <v>86</v>
      </c>
    </row>
    <row r="14" spans="1:23" x14ac:dyDescent="0.3">
      <c r="H14">
        <v>1</v>
      </c>
      <c r="I14">
        <v>2</v>
      </c>
      <c r="J14">
        <v>2</v>
      </c>
      <c r="K14">
        <v>1</v>
      </c>
      <c r="N14" s="53" t="s">
        <v>89</v>
      </c>
      <c r="O14" s="5"/>
      <c r="P14" s="5" t="s">
        <v>87</v>
      </c>
      <c r="Q14" s="5" t="s">
        <v>53</v>
      </c>
      <c r="R14" s="5" t="s">
        <v>88</v>
      </c>
      <c r="T14" s="41">
        <f>P15/(P15+Q15)</f>
        <v>0.2</v>
      </c>
      <c r="U14" s="41">
        <f>1-T14</f>
        <v>0.8</v>
      </c>
      <c r="V14" s="41">
        <f>Q16/(Q16+P16)</f>
        <v>0.36</v>
      </c>
      <c r="W14" s="41">
        <f>1-V14</f>
        <v>0.64</v>
      </c>
    </row>
    <row r="15" spans="1:23" x14ac:dyDescent="0.3">
      <c r="H15">
        <v>2</v>
      </c>
      <c r="I15">
        <v>1</v>
      </c>
      <c r="J15">
        <v>1</v>
      </c>
      <c r="K15">
        <v>2</v>
      </c>
      <c r="N15" s="53"/>
      <c r="O15" s="5" t="s">
        <v>87</v>
      </c>
      <c r="P15" s="7">
        <v>4</v>
      </c>
      <c r="Q15" s="7">
        <v>16</v>
      </c>
      <c r="R15" s="7">
        <f>P15+Q15</f>
        <v>20</v>
      </c>
    </row>
    <row r="16" spans="1:23" x14ac:dyDescent="0.3">
      <c r="H16">
        <v>1</v>
      </c>
      <c r="I16">
        <v>1</v>
      </c>
      <c r="J16">
        <v>2</v>
      </c>
      <c r="K16">
        <v>1</v>
      </c>
      <c r="N16" s="53"/>
      <c r="O16" s="5" t="s">
        <v>53</v>
      </c>
      <c r="P16" s="7">
        <v>16</v>
      </c>
      <c r="Q16" s="7">
        <v>9</v>
      </c>
      <c r="R16" s="7">
        <f>P16+Q16</f>
        <v>25</v>
      </c>
    </row>
    <row r="17" spans="1:23" x14ac:dyDescent="0.3">
      <c r="H17">
        <v>2</v>
      </c>
      <c r="I17">
        <v>2</v>
      </c>
      <c r="J17">
        <v>2</v>
      </c>
      <c r="K17">
        <v>2</v>
      </c>
      <c r="N17" s="5" t="s">
        <v>88</v>
      </c>
      <c r="O17" s="5"/>
      <c r="P17" s="7">
        <f>P15+P16</f>
        <v>20</v>
      </c>
      <c r="Q17" s="7">
        <f>Q15+Q16</f>
        <v>25</v>
      </c>
      <c r="R17" s="7">
        <f>R15+R16</f>
        <v>45</v>
      </c>
    </row>
    <row r="18" spans="1:23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1</v>
      </c>
      <c r="I18">
        <v>2</v>
      </c>
      <c r="J18">
        <v>1</v>
      </c>
      <c r="K18">
        <v>1</v>
      </c>
    </row>
    <row r="19" spans="1:23" x14ac:dyDescent="0.3">
      <c r="A19" s="54"/>
      <c r="B19" s="54"/>
      <c r="C19" s="69"/>
      <c r="D19" s="54"/>
      <c r="E19" s="54"/>
      <c r="F19" s="54"/>
      <c r="H19">
        <v>2</v>
      </c>
      <c r="I19">
        <v>1</v>
      </c>
      <c r="J19">
        <v>2</v>
      </c>
      <c r="K19">
        <v>1</v>
      </c>
      <c r="N19" s="5" t="s">
        <v>117</v>
      </c>
      <c r="O19" s="53" t="s">
        <v>90</v>
      </c>
      <c r="P19" s="53"/>
      <c r="Q19" s="53"/>
      <c r="R19" s="5"/>
      <c r="T19" s="9" t="s">
        <v>83</v>
      </c>
      <c r="U19" s="9" t="s">
        <v>84</v>
      </c>
      <c r="V19" s="9" t="s">
        <v>85</v>
      </c>
      <c r="W19" s="9" t="s">
        <v>86</v>
      </c>
    </row>
    <row r="20" spans="1:23" x14ac:dyDescent="0.3">
      <c r="A20" s="54"/>
      <c r="B20" s="54"/>
      <c r="C20" s="69"/>
      <c r="D20" s="54"/>
      <c r="E20" s="54"/>
      <c r="F20" s="54"/>
      <c r="H20">
        <v>1</v>
      </c>
      <c r="I20">
        <v>1</v>
      </c>
      <c r="J20">
        <v>2</v>
      </c>
      <c r="K20">
        <v>2</v>
      </c>
      <c r="N20" s="53" t="s">
        <v>89</v>
      </c>
      <c r="O20" s="5"/>
      <c r="P20" s="5" t="s">
        <v>87</v>
      </c>
      <c r="Q20" s="5" t="s">
        <v>53</v>
      </c>
      <c r="R20" s="5" t="s">
        <v>88</v>
      </c>
      <c r="T20" s="41">
        <f>P21/(P21+Q21)</f>
        <v>0.44</v>
      </c>
      <c r="U20" s="41">
        <f>1-T20</f>
        <v>0.56000000000000005</v>
      </c>
      <c r="V20" s="40">
        <f>Q22/(Q22+P22)</f>
        <v>0.22222222222222221</v>
      </c>
      <c r="W20" s="40">
        <f>1-V20</f>
        <v>0.77777777777777779</v>
      </c>
    </row>
    <row r="21" spans="1:23" x14ac:dyDescent="0.3">
      <c r="A21" s="54"/>
      <c r="B21" s="54"/>
      <c r="C21" s="70"/>
      <c r="D21" s="54"/>
      <c r="E21" s="54"/>
      <c r="F21" s="54"/>
      <c r="H21">
        <v>2</v>
      </c>
      <c r="I21">
        <v>2</v>
      </c>
      <c r="J21">
        <v>1</v>
      </c>
      <c r="K21">
        <v>1</v>
      </c>
      <c r="N21" s="53"/>
      <c r="O21" s="5" t="s">
        <v>87</v>
      </c>
      <c r="P21" s="7">
        <v>11</v>
      </c>
      <c r="Q21" s="7">
        <v>14</v>
      </c>
      <c r="R21" s="7">
        <f>P21+Q21</f>
        <v>25</v>
      </c>
    </row>
    <row r="22" spans="1:23" x14ac:dyDescent="0.3">
      <c r="A22" s="37">
        <v>1</v>
      </c>
      <c r="B22" s="37">
        <v>73</v>
      </c>
      <c r="C22" s="40">
        <f>($C$4*$D$11*$A$11^0)+($D$3*$B$11*$C$11^0)</f>
        <v>78.762542684528512</v>
      </c>
      <c r="D22" s="37">
        <v>83.703999999999994</v>
      </c>
      <c r="E22" s="5" t="s">
        <v>125</v>
      </c>
      <c r="F22" s="5" t="s">
        <v>125</v>
      </c>
      <c r="H22">
        <v>1</v>
      </c>
      <c r="I22">
        <v>1</v>
      </c>
      <c r="J22">
        <v>2</v>
      </c>
      <c r="K22">
        <v>1</v>
      </c>
      <c r="N22" s="53"/>
      <c r="O22" s="5" t="s">
        <v>53</v>
      </c>
      <c r="P22" s="7">
        <v>14</v>
      </c>
      <c r="Q22" s="7">
        <v>4</v>
      </c>
      <c r="R22" s="7">
        <f>P22+Q22</f>
        <v>18</v>
      </c>
    </row>
    <row r="23" spans="1:23" x14ac:dyDescent="0.3">
      <c r="A23" s="37">
        <v>2</v>
      </c>
      <c r="B23" s="37">
        <v>40</v>
      </c>
      <c r="C23" s="40">
        <f>($C$4*$D$11*$A$11^1)+($D$3*$B$11*$C$11^1)</f>
        <v>26.178618334646707</v>
      </c>
      <c r="D23" s="37">
        <v>24.759</v>
      </c>
      <c r="E23" s="5" t="s">
        <v>125</v>
      </c>
      <c r="F23" s="5" t="s">
        <v>125</v>
      </c>
      <c r="H23">
        <v>1</v>
      </c>
      <c r="I23">
        <v>1</v>
      </c>
      <c r="J23">
        <v>1</v>
      </c>
      <c r="K23">
        <v>1</v>
      </c>
      <c r="N23" s="5" t="s">
        <v>88</v>
      </c>
      <c r="O23" s="5"/>
      <c r="P23" s="7">
        <f>P21+P22</f>
        <v>25</v>
      </c>
      <c r="Q23" s="7">
        <f>Q21+Q22</f>
        <v>18</v>
      </c>
      <c r="R23" s="7">
        <f>R21+R22</f>
        <v>43</v>
      </c>
    </row>
    <row r="24" spans="1:23" x14ac:dyDescent="0.3">
      <c r="A24" s="37">
        <v>3</v>
      </c>
      <c r="B24" s="37">
        <v>6</v>
      </c>
      <c r="C24" s="40">
        <f>($C$4*$D$11*$A$11^2)+($D$3*$B$11*$C$11^2)</f>
        <v>8.9433018090008662</v>
      </c>
      <c r="D24" s="37">
        <v>7.8959999999999999</v>
      </c>
      <c r="E24" s="37">
        <v>5</v>
      </c>
      <c r="F24" s="5">
        <v>1</v>
      </c>
      <c r="H24">
        <v>2</v>
      </c>
      <c r="I24">
        <v>1</v>
      </c>
      <c r="J24">
        <v>2</v>
      </c>
      <c r="K24">
        <v>2</v>
      </c>
    </row>
    <row r="25" spans="1:23" x14ac:dyDescent="0.3">
      <c r="A25" s="37">
        <v>4</v>
      </c>
      <c r="B25" s="37">
        <v>1</v>
      </c>
      <c r="C25" s="40">
        <f>($C$4*$D$11*$A$11^3)+($D$3*$B$11*$C$11^3)</f>
        <v>3.1310678349120211</v>
      </c>
      <c r="D25" s="37">
        <v>2.5750000000000002</v>
      </c>
      <c r="E25" s="5">
        <v>1</v>
      </c>
      <c r="F25" s="5">
        <v>0</v>
      </c>
      <c r="H25">
        <v>2</v>
      </c>
      <c r="I25">
        <v>2</v>
      </c>
      <c r="J25">
        <v>2</v>
      </c>
      <c r="K25">
        <v>2</v>
      </c>
    </row>
    <row r="26" spans="1:23" x14ac:dyDescent="0.3">
      <c r="A26" s="37">
        <v>5</v>
      </c>
      <c r="B26" s="37">
        <v>0</v>
      </c>
      <c r="C26" s="40">
        <f>($C$4*$D$11*$A$11^4)+($D$3*$B$11*$C$11^4)</f>
        <v>1.1192733197363838</v>
      </c>
      <c r="D26" s="37">
        <v>0.90900000000000003</v>
      </c>
      <c r="E26" s="5">
        <v>0</v>
      </c>
      <c r="F26" s="5">
        <v>0</v>
      </c>
      <c r="H26">
        <v>1</v>
      </c>
      <c r="I26">
        <v>1</v>
      </c>
      <c r="J26">
        <v>1</v>
      </c>
      <c r="K26">
        <v>1</v>
      </c>
    </row>
    <row r="27" spans="1:23" x14ac:dyDescent="0.3">
      <c r="A27" s="37">
        <v>6</v>
      </c>
      <c r="B27" s="37">
        <v>0</v>
      </c>
      <c r="C27" s="40">
        <f>($C$4*$D$11*$A$11^5)+($D$3*$B$11*$C$11^5)</f>
        <v>0.40696775680533448</v>
      </c>
      <c r="D27" s="37">
        <v>0.31</v>
      </c>
      <c r="E27" s="5">
        <v>0</v>
      </c>
      <c r="F27" s="5">
        <v>0</v>
      </c>
      <c r="H27">
        <v>1</v>
      </c>
      <c r="I27">
        <v>2</v>
      </c>
      <c r="J27">
        <v>2</v>
      </c>
      <c r="K27">
        <v>1</v>
      </c>
    </row>
    <row r="28" spans="1:23" x14ac:dyDescent="0.3">
      <c r="A28" s="37">
        <v>7</v>
      </c>
      <c r="B28" s="37">
        <v>0</v>
      </c>
      <c r="C28" s="40">
        <f>($C$4*$D$11*$A$11^6)+($D$3*$B$11*$C$11^6)</f>
        <v>0.14996885089132792</v>
      </c>
      <c r="D28" s="37">
        <v>0.109</v>
      </c>
      <c r="E28" s="5">
        <v>0</v>
      </c>
      <c r="F28" s="5">
        <v>0</v>
      </c>
      <c r="H28">
        <v>2</v>
      </c>
      <c r="I28">
        <v>2</v>
      </c>
      <c r="J28">
        <v>1</v>
      </c>
      <c r="K28">
        <v>2</v>
      </c>
    </row>
    <row r="29" spans="1:23" x14ac:dyDescent="0.3">
      <c r="A29" s="37">
        <v>8</v>
      </c>
      <c r="B29" s="37">
        <v>0</v>
      </c>
      <c r="C29" s="40">
        <f>($C$4*$D$11*$A$11^7)+($D$3*$B$11*$C$11^7)</f>
        <v>5.5834816056284937E-2</v>
      </c>
      <c r="D29" s="37">
        <v>4.8000000000000001E-2</v>
      </c>
      <c r="E29" s="5">
        <v>0</v>
      </c>
      <c r="F29" s="5">
        <v>0</v>
      </c>
      <c r="H29">
        <v>1</v>
      </c>
      <c r="I29">
        <v>1</v>
      </c>
      <c r="J29">
        <v>1</v>
      </c>
      <c r="K29">
        <v>2</v>
      </c>
    </row>
    <row r="30" spans="1:23" x14ac:dyDescent="0.3">
      <c r="A30" s="37" t="s">
        <v>103</v>
      </c>
      <c r="B30" s="37">
        <v>0</v>
      </c>
      <c r="C30" s="40">
        <f>($C$4*$D$11*$A$11^8)+($D$3*$B$11*$C$11^8)</f>
        <v>2.0948961560098817E-2</v>
      </c>
      <c r="D30" s="37">
        <v>2.4E-2</v>
      </c>
      <c r="E30" s="5">
        <v>0</v>
      </c>
      <c r="F30" s="5">
        <v>0</v>
      </c>
      <c r="H30">
        <v>1</v>
      </c>
      <c r="I30">
        <v>2</v>
      </c>
      <c r="J30">
        <v>2</v>
      </c>
      <c r="K30">
        <v>1</v>
      </c>
    </row>
    <row r="31" spans="1:23" x14ac:dyDescent="0.3">
      <c r="H31">
        <v>2</v>
      </c>
      <c r="I31">
        <v>1</v>
      </c>
      <c r="J31">
        <v>1</v>
      </c>
      <c r="K31">
        <v>1</v>
      </c>
    </row>
    <row r="32" spans="1:23" ht="14.4" customHeight="1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2</v>
      </c>
      <c r="I32">
        <v>1</v>
      </c>
      <c r="J32">
        <v>2</v>
      </c>
      <c r="K32">
        <v>2</v>
      </c>
    </row>
    <row r="33" spans="1:11" x14ac:dyDescent="0.3">
      <c r="A33" s="53"/>
      <c r="B33" s="54"/>
      <c r="C33" s="54"/>
      <c r="D33" s="54"/>
      <c r="E33" s="54"/>
      <c r="F33" s="53"/>
      <c r="G33" s="53"/>
      <c r="H33">
        <v>1</v>
      </c>
      <c r="I33">
        <v>2</v>
      </c>
      <c r="J33">
        <v>2</v>
      </c>
      <c r="K33">
        <v>1</v>
      </c>
    </row>
    <row r="34" spans="1:11" x14ac:dyDescent="0.3">
      <c r="A34" s="5" t="s">
        <v>87</v>
      </c>
      <c r="B34" s="64">
        <f>E24+E25+E26+E27+E28+E29+E30</f>
        <v>6</v>
      </c>
      <c r="C34" s="65"/>
      <c r="D34" s="66">
        <f>E24*1+E25*2+E26*3+E27*4+E28*5+E29*6+E30*7</f>
        <v>7</v>
      </c>
      <c r="E34" s="67"/>
      <c r="F34" s="48">
        <f>B34/D34</f>
        <v>0.8571428571428571</v>
      </c>
      <c r="G34" s="49">
        <f>F34</f>
        <v>0.8571428571428571</v>
      </c>
      <c r="H34">
        <v>1</v>
      </c>
      <c r="I34">
        <v>1</v>
      </c>
      <c r="J34">
        <v>1</v>
      </c>
      <c r="K34">
        <v>2</v>
      </c>
    </row>
    <row r="35" spans="1:11" x14ac:dyDescent="0.3">
      <c r="A35" s="5" t="s">
        <v>98</v>
      </c>
      <c r="B35" s="64">
        <f>F24+F25+F26+F27+F28+F29+F30</f>
        <v>1</v>
      </c>
      <c r="C35" s="65"/>
      <c r="D35" s="66">
        <f>F24*1+F25*2+F26*3+F27*4+F28*5+F29*6+F30*7</f>
        <v>1</v>
      </c>
      <c r="E35" s="67"/>
      <c r="F35" s="48">
        <f>B35/D35</f>
        <v>1</v>
      </c>
      <c r="G35" s="49">
        <f>F35</f>
        <v>1</v>
      </c>
      <c r="H35">
        <v>1</v>
      </c>
      <c r="I35">
        <v>1</v>
      </c>
      <c r="J35">
        <v>1</v>
      </c>
      <c r="K35">
        <v>1</v>
      </c>
    </row>
    <row r="36" spans="1:11" x14ac:dyDescent="0.3">
      <c r="H36">
        <v>2</v>
      </c>
      <c r="I36">
        <v>2</v>
      </c>
      <c r="J36">
        <v>2</v>
      </c>
      <c r="K36">
        <v>2</v>
      </c>
    </row>
    <row r="37" spans="1:11" x14ac:dyDescent="0.3">
      <c r="H37">
        <v>2</v>
      </c>
      <c r="I37">
        <v>1</v>
      </c>
      <c r="J37">
        <v>2</v>
      </c>
      <c r="K37">
        <v>1</v>
      </c>
    </row>
    <row r="38" spans="1:11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1</v>
      </c>
      <c r="I38">
        <v>1</v>
      </c>
      <c r="J38">
        <v>1</v>
      </c>
      <c r="K38">
        <v>1</v>
      </c>
    </row>
    <row r="39" spans="1:11" x14ac:dyDescent="0.3">
      <c r="A39" s="80" t="s">
        <v>87</v>
      </c>
      <c r="B39" s="83">
        <v>6</v>
      </c>
      <c r="C39" s="83"/>
      <c r="D39" s="92">
        <v>36</v>
      </c>
      <c r="E39" s="92"/>
      <c r="F39" s="82">
        <f>SUM(B39+D39)</f>
        <v>42</v>
      </c>
      <c r="H39">
        <v>2</v>
      </c>
      <c r="I39">
        <v>2</v>
      </c>
      <c r="J39">
        <v>2</v>
      </c>
      <c r="K39">
        <v>2</v>
      </c>
    </row>
    <row r="40" spans="1:11" ht="14.4" customHeight="1" x14ac:dyDescent="0.3">
      <c r="A40" s="80" t="s">
        <v>98</v>
      </c>
      <c r="B40" s="83">
        <v>1</v>
      </c>
      <c r="C40" s="83"/>
      <c r="D40" s="92">
        <v>22</v>
      </c>
      <c r="E40" s="92"/>
      <c r="F40" s="82">
        <f>SUM(B40+D40)</f>
        <v>23</v>
      </c>
      <c r="H40">
        <v>1</v>
      </c>
      <c r="I40">
        <v>1</v>
      </c>
      <c r="J40">
        <v>1</v>
      </c>
      <c r="K40">
        <v>1</v>
      </c>
    </row>
    <row r="41" spans="1:11" x14ac:dyDescent="0.3">
      <c r="A41" s="85"/>
      <c r="B41" s="86">
        <f>SUM(B39:B40)</f>
        <v>7</v>
      </c>
      <c r="C41" s="86"/>
      <c r="D41" s="87">
        <f>SUM(D39:D40)</f>
        <v>58</v>
      </c>
      <c r="E41" s="87"/>
      <c r="F41" s="82">
        <f>SUM(F39:F40)</f>
        <v>65</v>
      </c>
      <c r="H41">
        <v>2</v>
      </c>
      <c r="I41">
        <v>1</v>
      </c>
      <c r="J41">
        <v>1</v>
      </c>
      <c r="K41">
        <v>1</v>
      </c>
    </row>
    <row r="42" spans="1:11" x14ac:dyDescent="0.3">
      <c r="A42" s="40"/>
      <c r="B42" s="84" t="s">
        <v>134</v>
      </c>
      <c r="C42" s="84"/>
      <c r="D42" s="84" t="s">
        <v>132</v>
      </c>
      <c r="E42" s="84"/>
      <c r="F42" s="73"/>
      <c r="H42">
        <v>1</v>
      </c>
      <c r="I42">
        <v>1</v>
      </c>
      <c r="J42">
        <v>2</v>
      </c>
      <c r="K42">
        <v>1</v>
      </c>
    </row>
    <row r="43" spans="1:11" x14ac:dyDescent="0.3">
      <c r="A43" s="82" t="s">
        <v>87</v>
      </c>
      <c r="B43" s="81">
        <f>B41*F39/F41</f>
        <v>4.523076923076923</v>
      </c>
      <c r="C43" s="81"/>
      <c r="D43" s="81">
        <f>D41*F39/F41</f>
        <v>37.476923076923079</v>
      </c>
      <c r="E43" s="81"/>
      <c r="F43" s="73"/>
      <c r="H43">
        <v>1</v>
      </c>
      <c r="J43">
        <v>2</v>
      </c>
      <c r="K43">
        <v>2</v>
      </c>
    </row>
    <row r="44" spans="1:11" x14ac:dyDescent="0.3">
      <c r="A44" s="82" t="s">
        <v>98</v>
      </c>
      <c r="B44" s="81">
        <f>B41*F40/F41</f>
        <v>2.476923076923077</v>
      </c>
      <c r="C44" s="81"/>
      <c r="D44" s="81">
        <f>D41*F40/F41</f>
        <v>20.523076923076925</v>
      </c>
      <c r="E44" s="81"/>
      <c r="F44" s="73"/>
      <c r="H44">
        <v>2</v>
      </c>
      <c r="J44">
        <v>2</v>
      </c>
      <c r="K44">
        <v>1</v>
      </c>
    </row>
    <row r="45" spans="1:11" x14ac:dyDescent="0.3">
      <c r="A45" s="88"/>
      <c r="B45" s="88"/>
      <c r="C45" s="88"/>
      <c r="D45" s="88"/>
      <c r="E45" s="88"/>
      <c r="F45" s="73"/>
      <c r="H45">
        <v>2</v>
      </c>
      <c r="J45">
        <v>1</v>
      </c>
    </row>
    <row r="46" spans="1:11" x14ac:dyDescent="0.3">
      <c r="A46" s="88" t="s">
        <v>135</v>
      </c>
      <c r="B46" s="89">
        <f>CHITEST(B39:E40,B43:E44)</f>
        <v>0.67596111556441807</v>
      </c>
      <c r="C46" s="88"/>
      <c r="D46" s="88"/>
      <c r="E46" s="88"/>
      <c r="F46" s="73"/>
      <c r="H46">
        <v>1</v>
      </c>
      <c r="J46">
        <v>2</v>
      </c>
    </row>
    <row r="47" spans="1:11" x14ac:dyDescent="0.3">
      <c r="H47">
        <v>1</v>
      </c>
    </row>
  </sheetData>
  <mergeCells count="40">
    <mergeCell ref="B44:C44"/>
    <mergeCell ref="D44:E44"/>
    <mergeCell ref="B41:C41"/>
    <mergeCell ref="D41:E41"/>
    <mergeCell ref="B42:C42"/>
    <mergeCell ref="D42:E42"/>
    <mergeCell ref="B43:C43"/>
    <mergeCell ref="D43:E43"/>
    <mergeCell ref="B38:C38"/>
    <mergeCell ref="D38:E38"/>
    <mergeCell ref="B39:C39"/>
    <mergeCell ref="D39:E39"/>
    <mergeCell ref="B40:C40"/>
    <mergeCell ref="D40:E40"/>
    <mergeCell ref="B34:C34"/>
    <mergeCell ref="D34:E34"/>
    <mergeCell ref="B35:C35"/>
    <mergeCell ref="D35:E35"/>
    <mergeCell ref="A32:A33"/>
    <mergeCell ref="B32:C33"/>
    <mergeCell ref="D32:E33"/>
    <mergeCell ref="F32:F33"/>
    <mergeCell ref="G32:G33"/>
    <mergeCell ref="N14:N16"/>
    <mergeCell ref="O19:Q19"/>
    <mergeCell ref="N20:N22"/>
    <mergeCell ref="O1:Q1"/>
    <mergeCell ref="N2:N4"/>
    <mergeCell ref="O7:Q7"/>
    <mergeCell ref="N8:N10"/>
    <mergeCell ref="O13:Q13"/>
    <mergeCell ref="B1:D1"/>
    <mergeCell ref="A2:A4"/>
    <mergeCell ref="E10:F12"/>
    <mergeCell ref="A18:A21"/>
    <mergeCell ref="B18:B21"/>
    <mergeCell ref="C18:C21"/>
    <mergeCell ref="D18:D21"/>
    <mergeCell ref="E18:E21"/>
    <mergeCell ref="F18:F21"/>
  </mergeCells>
  <conditionalFormatting sqref="H1:K47">
    <cfRule type="cellIs" dxfId="138" priority="5" operator="equal">
      <formula>1</formula>
    </cfRule>
    <cfRule type="cellIs" dxfId="137" priority="6" operator="equal">
      <formula>2</formula>
    </cfRule>
  </conditionalFormatting>
  <conditionalFormatting sqref="A43:B44 A45:E46 D42:D44 B42">
    <cfRule type="cellIs" dxfId="67" priority="1" operator="equal">
      <formula>1</formula>
    </cfRule>
    <cfRule type="cellIs" dxfId="66" priority="2" operator="equal">
      <formula>2</formula>
    </cfRule>
    <cfRule type="cellIs" dxfId="65" priority="3" operator="equal">
      <formula>1</formula>
    </cfRule>
    <cfRule type="cellIs" dxfId="64" priority="4" operator="equal">
      <formula>2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FFA1-4F10-4FF2-9BB8-1F6668E2A00E}">
  <dimension ref="A1:W46"/>
  <sheetViews>
    <sheetView topLeftCell="A22" workbookViewId="0">
      <selection activeCell="D41" sqref="D41:E41"/>
    </sheetView>
  </sheetViews>
  <sheetFormatPr defaultRowHeight="14.4" x14ac:dyDescent="0.3"/>
  <cols>
    <col min="3" max="3" width="9.6640625" customWidth="1"/>
  </cols>
  <sheetData>
    <row r="1" spans="1:23" x14ac:dyDescent="0.3">
      <c r="A1" s="5"/>
      <c r="B1" s="53" t="s">
        <v>90</v>
      </c>
      <c r="C1" s="53"/>
      <c r="D1" s="53"/>
      <c r="E1" s="5"/>
      <c r="H1">
        <v>2</v>
      </c>
      <c r="I1">
        <v>1</v>
      </c>
      <c r="J1">
        <v>2</v>
      </c>
      <c r="N1" s="5" t="s">
        <v>113</v>
      </c>
      <c r="O1" s="53" t="s">
        <v>90</v>
      </c>
      <c r="P1" s="53"/>
      <c r="Q1" s="53"/>
      <c r="R1" s="5"/>
      <c r="T1" s="9" t="s">
        <v>83</v>
      </c>
      <c r="U1" s="9" t="s">
        <v>84</v>
      </c>
      <c r="V1" s="9" t="s">
        <v>85</v>
      </c>
      <c r="W1" s="9" t="s">
        <v>86</v>
      </c>
    </row>
    <row r="2" spans="1:23" x14ac:dyDescent="0.3">
      <c r="A2" s="53" t="s">
        <v>89</v>
      </c>
      <c r="B2" s="5"/>
      <c r="C2" s="5" t="s">
        <v>87</v>
      </c>
      <c r="D2" s="5" t="s">
        <v>53</v>
      </c>
      <c r="E2" s="5" t="s">
        <v>88</v>
      </c>
      <c r="H2">
        <v>2</v>
      </c>
      <c r="I2">
        <v>2</v>
      </c>
      <c r="J2">
        <v>1</v>
      </c>
      <c r="N2" s="53" t="s">
        <v>89</v>
      </c>
      <c r="O2" s="5"/>
      <c r="P2" s="5" t="s">
        <v>87</v>
      </c>
      <c r="Q2" s="5" t="s">
        <v>53</v>
      </c>
      <c r="R2" s="5" t="s">
        <v>88</v>
      </c>
      <c r="T2" s="41">
        <f>P3/(P3+Q3)</f>
        <v>0.54166666666666663</v>
      </c>
      <c r="U2" s="41">
        <f>1-T2</f>
        <v>0.45833333333333337</v>
      </c>
      <c r="V2" s="41">
        <f>Q4/(Q4+P4)</f>
        <v>0.14285714285714285</v>
      </c>
      <c r="W2" s="41">
        <f>1-V2</f>
        <v>0.85714285714285721</v>
      </c>
    </row>
    <row r="3" spans="1:23" x14ac:dyDescent="0.3">
      <c r="A3" s="53"/>
      <c r="B3" s="5" t="s">
        <v>87</v>
      </c>
      <c r="C3" s="7">
        <v>34</v>
      </c>
      <c r="D3" s="7">
        <v>39</v>
      </c>
      <c r="E3" s="7">
        <f>C3+D3</f>
        <v>73</v>
      </c>
      <c r="H3">
        <v>1</v>
      </c>
      <c r="I3">
        <v>1</v>
      </c>
      <c r="J3">
        <v>2</v>
      </c>
      <c r="N3" s="53"/>
      <c r="O3" s="5" t="s">
        <v>87</v>
      </c>
      <c r="P3" s="7">
        <v>13</v>
      </c>
      <c r="Q3" s="7">
        <v>11</v>
      </c>
      <c r="R3" s="7">
        <f>P3+Q3</f>
        <v>24</v>
      </c>
      <c r="T3" t="s">
        <v>116</v>
      </c>
    </row>
    <row r="4" spans="1:23" x14ac:dyDescent="0.3">
      <c r="A4" s="53"/>
      <c r="B4" s="5" t="s">
        <v>53</v>
      </c>
      <c r="C4" s="7">
        <v>41</v>
      </c>
      <c r="D4" s="7">
        <v>9</v>
      </c>
      <c r="E4" s="7">
        <f>C4+D4</f>
        <v>50</v>
      </c>
      <c r="H4">
        <v>1</v>
      </c>
      <c r="I4">
        <v>1</v>
      </c>
      <c r="J4">
        <v>2</v>
      </c>
      <c r="N4" s="53"/>
      <c r="O4" s="5" t="s">
        <v>53</v>
      </c>
      <c r="P4" s="7">
        <v>12</v>
      </c>
      <c r="Q4" s="7">
        <v>2</v>
      </c>
      <c r="R4" s="7">
        <f>P4+Q4</f>
        <v>14</v>
      </c>
    </row>
    <row r="5" spans="1:23" x14ac:dyDescent="0.3">
      <c r="A5" s="5" t="s">
        <v>88</v>
      </c>
      <c r="B5" s="5"/>
      <c r="C5" s="7">
        <f>C3+C4</f>
        <v>75</v>
      </c>
      <c r="D5" s="7">
        <f>D3+D4</f>
        <v>48</v>
      </c>
      <c r="E5" s="7">
        <f>E3+E4</f>
        <v>123</v>
      </c>
      <c r="H5">
        <v>2</v>
      </c>
      <c r="I5">
        <v>1</v>
      </c>
      <c r="J5">
        <v>1</v>
      </c>
      <c r="N5" s="5" t="s">
        <v>88</v>
      </c>
      <c r="O5" s="5"/>
      <c r="P5" s="7">
        <f>P3+P4</f>
        <v>25</v>
      </c>
      <c r="Q5" s="7">
        <f>Q3+Q4</f>
        <v>13</v>
      </c>
      <c r="R5" s="7">
        <f>R3+R4</f>
        <v>38</v>
      </c>
    </row>
    <row r="6" spans="1:23" x14ac:dyDescent="0.3">
      <c r="H6">
        <v>1</v>
      </c>
      <c r="I6">
        <v>2</v>
      </c>
      <c r="J6">
        <v>1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1</v>
      </c>
      <c r="I7">
        <v>1</v>
      </c>
      <c r="J7">
        <v>2</v>
      </c>
      <c r="N7" s="5" t="s">
        <v>114</v>
      </c>
      <c r="O7" s="53" t="s">
        <v>90</v>
      </c>
      <c r="P7" s="53"/>
      <c r="Q7" s="53"/>
      <c r="R7" s="5"/>
      <c r="T7" s="9" t="s">
        <v>83</v>
      </c>
      <c r="U7" s="9" t="s">
        <v>84</v>
      </c>
      <c r="V7" s="9" t="s">
        <v>85</v>
      </c>
      <c r="W7" s="9" t="s">
        <v>86</v>
      </c>
    </row>
    <row r="8" spans="1:23" x14ac:dyDescent="0.3">
      <c r="A8" s="8">
        <f>C3/C5</f>
        <v>0.45333333333333331</v>
      </c>
      <c r="B8" s="8">
        <f>1-A8</f>
        <v>0.54666666666666663</v>
      </c>
      <c r="C8" s="8">
        <f>D4/E4</f>
        <v>0.18</v>
      </c>
      <c r="D8" s="8">
        <f>1-C8</f>
        <v>0.82000000000000006</v>
      </c>
      <c r="H8">
        <v>2</v>
      </c>
      <c r="I8">
        <v>2</v>
      </c>
      <c r="J8">
        <v>2</v>
      </c>
      <c r="N8" s="53" t="s">
        <v>89</v>
      </c>
      <c r="O8" s="5"/>
      <c r="P8" s="5" t="s">
        <v>87</v>
      </c>
      <c r="Q8" s="5" t="s">
        <v>53</v>
      </c>
      <c r="R8" s="5" t="s">
        <v>88</v>
      </c>
      <c r="T8" s="41">
        <f>P9/(P9+Q9)</f>
        <v>0.36</v>
      </c>
      <c r="U8" s="41">
        <f>1-T8</f>
        <v>0.64</v>
      </c>
      <c r="V8" s="41">
        <f>Q10/(Q10+P10)</f>
        <v>0.2</v>
      </c>
      <c r="W8" s="41">
        <f>1-V8</f>
        <v>0.8</v>
      </c>
    </row>
    <row r="9" spans="1:23" x14ac:dyDescent="0.3">
      <c r="H9">
        <v>1</v>
      </c>
      <c r="I9">
        <v>1</v>
      </c>
      <c r="J9">
        <v>1</v>
      </c>
      <c r="N9" s="53"/>
      <c r="O9" s="5" t="s">
        <v>87</v>
      </c>
      <c r="P9" s="7">
        <v>9</v>
      </c>
      <c r="Q9" s="7">
        <v>16</v>
      </c>
      <c r="R9" s="7">
        <f>P9+Q9</f>
        <v>25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2</v>
      </c>
      <c r="I10">
        <v>2</v>
      </c>
      <c r="J10">
        <v>1</v>
      </c>
      <c r="N10" s="53"/>
      <c r="O10" s="5" t="s">
        <v>53</v>
      </c>
      <c r="P10" s="7">
        <v>16</v>
      </c>
      <c r="Q10" s="7">
        <v>4</v>
      </c>
      <c r="R10" s="7">
        <f>P10+Q10</f>
        <v>20</v>
      </c>
    </row>
    <row r="11" spans="1:23" x14ac:dyDescent="0.3">
      <c r="A11" s="43">
        <f>C3/E3</f>
        <v>0.46575342465753422</v>
      </c>
      <c r="B11" s="43">
        <f>1-A11</f>
        <v>0.53424657534246578</v>
      </c>
      <c r="C11" s="43">
        <f>D4/E4</f>
        <v>0.18</v>
      </c>
      <c r="D11" s="43">
        <f>1-C11</f>
        <v>0.82000000000000006</v>
      </c>
      <c r="E11" s="59"/>
      <c r="F11" s="59"/>
      <c r="H11">
        <v>2</v>
      </c>
      <c r="I11">
        <v>1</v>
      </c>
      <c r="J11">
        <v>1</v>
      </c>
      <c r="N11" s="5" t="s">
        <v>88</v>
      </c>
      <c r="O11" s="5"/>
      <c r="P11" s="7">
        <f>P9+P10</f>
        <v>25</v>
      </c>
      <c r="Q11" s="7">
        <f>Q9+Q10</f>
        <v>20</v>
      </c>
      <c r="R11" s="7">
        <f>R9+R10</f>
        <v>45</v>
      </c>
    </row>
    <row r="12" spans="1:23" x14ac:dyDescent="0.3">
      <c r="E12" s="59"/>
      <c r="F12" s="59"/>
      <c r="H12">
        <v>1</v>
      </c>
      <c r="I12">
        <v>1</v>
      </c>
      <c r="J12">
        <v>1</v>
      </c>
    </row>
    <row r="13" spans="1:23" x14ac:dyDescent="0.3">
      <c r="H13">
        <v>2</v>
      </c>
      <c r="I13">
        <v>2</v>
      </c>
      <c r="J13">
        <v>1</v>
      </c>
      <c r="N13" s="5" t="s">
        <v>115</v>
      </c>
      <c r="O13" s="53" t="s">
        <v>90</v>
      </c>
      <c r="P13" s="53"/>
      <c r="Q13" s="53"/>
      <c r="R13" s="5"/>
      <c r="T13" s="9" t="s">
        <v>83</v>
      </c>
      <c r="U13" s="9" t="s">
        <v>84</v>
      </c>
      <c r="V13" s="9" t="s">
        <v>85</v>
      </c>
      <c r="W13" s="9" t="s">
        <v>86</v>
      </c>
    </row>
    <row r="14" spans="1:23" x14ac:dyDescent="0.3">
      <c r="H14">
        <v>1</v>
      </c>
      <c r="I14">
        <v>1</v>
      </c>
      <c r="J14">
        <v>2</v>
      </c>
      <c r="N14" s="53" t="s">
        <v>89</v>
      </c>
      <c r="O14" s="5"/>
      <c r="P14" s="5" t="s">
        <v>87</v>
      </c>
      <c r="Q14" s="5" t="s">
        <v>53</v>
      </c>
      <c r="R14" s="5" t="s">
        <v>88</v>
      </c>
      <c r="T14" s="41">
        <f>P15/(P15+Q15)</f>
        <v>0.5</v>
      </c>
      <c r="U14" s="41">
        <f>1-T14</f>
        <v>0.5</v>
      </c>
      <c r="V14" s="41">
        <f>Q16/(Q16+P16)</f>
        <v>0.1875</v>
      </c>
      <c r="W14" s="41">
        <f>1-V14</f>
        <v>0.8125</v>
      </c>
    </row>
    <row r="15" spans="1:23" x14ac:dyDescent="0.3">
      <c r="H15">
        <v>1</v>
      </c>
      <c r="I15">
        <v>2</v>
      </c>
      <c r="J15">
        <v>1</v>
      </c>
      <c r="N15" s="53"/>
      <c r="O15" s="5" t="s">
        <v>87</v>
      </c>
      <c r="P15" s="7">
        <v>12</v>
      </c>
      <c r="Q15" s="7">
        <v>12</v>
      </c>
      <c r="R15" s="7">
        <f>P15+Q15</f>
        <v>24</v>
      </c>
    </row>
    <row r="16" spans="1:23" x14ac:dyDescent="0.3">
      <c r="H16">
        <v>2</v>
      </c>
      <c r="I16">
        <v>1</v>
      </c>
      <c r="J16">
        <v>1</v>
      </c>
      <c r="N16" s="53"/>
      <c r="O16" s="5" t="s">
        <v>53</v>
      </c>
      <c r="P16" s="7">
        <v>13</v>
      </c>
      <c r="Q16" s="7">
        <v>3</v>
      </c>
      <c r="R16" s="7">
        <f>P16+Q16</f>
        <v>16</v>
      </c>
    </row>
    <row r="17" spans="1:18" x14ac:dyDescent="0.3">
      <c r="H17">
        <v>1</v>
      </c>
      <c r="I17">
        <v>2</v>
      </c>
      <c r="J17">
        <v>2</v>
      </c>
      <c r="N17" s="5" t="s">
        <v>88</v>
      </c>
      <c r="O17" s="5"/>
      <c r="P17" s="7">
        <f>P15+P16</f>
        <v>25</v>
      </c>
      <c r="Q17" s="7">
        <f>Q15+Q16</f>
        <v>15</v>
      </c>
      <c r="R17" s="7">
        <f>R15+R16</f>
        <v>40</v>
      </c>
    </row>
    <row r="18" spans="1:18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1</v>
      </c>
      <c r="I18">
        <v>1</v>
      </c>
      <c r="J18">
        <v>1</v>
      </c>
    </row>
    <row r="19" spans="1:18" x14ac:dyDescent="0.3">
      <c r="A19" s="54"/>
      <c r="B19" s="54"/>
      <c r="C19" s="69"/>
      <c r="D19" s="54"/>
      <c r="E19" s="54"/>
      <c r="F19" s="54"/>
      <c r="H19">
        <v>1</v>
      </c>
      <c r="I19">
        <v>2</v>
      </c>
      <c r="J19">
        <v>1</v>
      </c>
    </row>
    <row r="20" spans="1:18" x14ac:dyDescent="0.3">
      <c r="A20" s="54"/>
      <c r="B20" s="54"/>
      <c r="C20" s="69"/>
      <c r="D20" s="54"/>
      <c r="E20" s="54"/>
      <c r="F20" s="54"/>
      <c r="H20">
        <v>1</v>
      </c>
      <c r="I20">
        <v>1</v>
      </c>
      <c r="J20">
        <v>2</v>
      </c>
    </row>
    <row r="21" spans="1:18" x14ac:dyDescent="0.3">
      <c r="A21" s="54"/>
      <c r="B21" s="54"/>
      <c r="C21" s="70"/>
      <c r="D21" s="54"/>
      <c r="E21" s="54"/>
      <c r="F21" s="54"/>
      <c r="H21">
        <v>1</v>
      </c>
      <c r="I21">
        <v>1</v>
      </c>
      <c r="J21">
        <v>1</v>
      </c>
    </row>
    <row r="22" spans="1:18" x14ac:dyDescent="0.3">
      <c r="A22" s="37">
        <v>1</v>
      </c>
      <c r="B22" s="37">
        <v>55</v>
      </c>
      <c r="C22" s="40">
        <f>($C$4*$D$11*$A$11^0)+($D$3*$B$11*$C$11^0)</f>
        <v>54.455616438356174</v>
      </c>
      <c r="D22" s="37">
        <v>56.304000000000002</v>
      </c>
      <c r="E22" s="5" t="s">
        <v>125</v>
      </c>
      <c r="F22" s="5" t="s">
        <v>125</v>
      </c>
      <c r="H22">
        <v>1</v>
      </c>
      <c r="I22">
        <v>2</v>
      </c>
      <c r="J22">
        <v>2</v>
      </c>
    </row>
    <row r="23" spans="1:18" x14ac:dyDescent="0.3">
      <c r="A23" s="37">
        <v>2</v>
      </c>
      <c r="B23" s="37">
        <v>17</v>
      </c>
      <c r="C23" s="40">
        <f>($C$4*$D$11*$A$11^1)+($D$3*$B$11*$C$11^1)</f>
        <v>19.409041095890412</v>
      </c>
      <c r="D23" s="37">
        <v>16.13</v>
      </c>
      <c r="E23" s="5" t="s">
        <v>125</v>
      </c>
      <c r="F23" s="5" t="s">
        <v>125</v>
      </c>
      <c r="H23">
        <v>1</v>
      </c>
      <c r="I23">
        <v>2</v>
      </c>
      <c r="J23">
        <v>1</v>
      </c>
    </row>
    <row r="24" spans="1:18" x14ac:dyDescent="0.3">
      <c r="A24" s="37">
        <v>3</v>
      </c>
      <c r="B24" s="37">
        <v>6</v>
      </c>
      <c r="C24" s="40">
        <f>($C$4*$D$11*$A$11^2)+($D$3*$B$11*$C$11^2)</f>
        <v>7.9681345843497846</v>
      </c>
      <c r="D24" s="37">
        <v>5.5110000000000001</v>
      </c>
      <c r="E24" s="37">
        <v>5</v>
      </c>
      <c r="F24" s="5">
        <v>1</v>
      </c>
      <c r="H24">
        <v>2</v>
      </c>
      <c r="I24">
        <v>2</v>
      </c>
      <c r="J24">
        <v>1</v>
      </c>
    </row>
    <row r="25" spans="1:18" x14ac:dyDescent="0.3">
      <c r="A25" s="37">
        <v>4</v>
      </c>
      <c r="B25" s="37">
        <v>1</v>
      </c>
      <c r="C25" s="40">
        <f>($C$4*$D$11*$A$11^3)+($D$3*$B$11*$C$11^3)</f>
        <v>3.5182812712246512</v>
      </c>
      <c r="D25" s="37">
        <v>2.1440000000000001</v>
      </c>
      <c r="E25" s="5">
        <v>1</v>
      </c>
      <c r="F25" s="5">
        <v>0</v>
      </c>
      <c r="H25">
        <v>1</v>
      </c>
      <c r="I25">
        <v>1</v>
      </c>
      <c r="J25">
        <v>1</v>
      </c>
    </row>
    <row r="26" spans="1:18" x14ac:dyDescent="0.3">
      <c r="A26" s="37">
        <v>5</v>
      </c>
      <c r="B26" s="37">
        <v>1</v>
      </c>
      <c r="C26" s="40">
        <f>($C$4*$D$11*$A$11^4)+($D$3*$B$11*$C$11^4)</f>
        <v>1.6039287050590321</v>
      </c>
      <c r="D26" s="37">
        <v>0.89200000000000002</v>
      </c>
      <c r="E26" s="5">
        <v>1</v>
      </c>
      <c r="F26" s="5">
        <v>0</v>
      </c>
      <c r="H26">
        <v>2</v>
      </c>
      <c r="I26">
        <v>2</v>
      </c>
      <c r="J26">
        <v>2</v>
      </c>
    </row>
    <row r="27" spans="1:18" x14ac:dyDescent="0.3">
      <c r="A27" s="37">
        <v>6</v>
      </c>
      <c r="B27" s="37">
        <v>0</v>
      </c>
      <c r="C27" s="40">
        <f>($C$4*$D$11*$A$11^5)+($D$3*$B$11*$C$11^5)</f>
        <v>0.74078517502175234</v>
      </c>
      <c r="D27" s="37">
        <v>0.44800000000000001</v>
      </c>
      <c r="E27" s="5">
        <v>0</v>
      </c>
      <c r="F27" s="5">
        <v>0</v>
      </c>
      <c r="H27">
        <v>1</v>
      </c>
      <c r="I27">
        <v>1</v>
      </c>
      <c r="J27">
        <v>2</v>
      </c>
    </row>
    <row r="28" spans="1:18" x14ac:dyDescent="0.3">
      <c r="A28" s="37">
        <v>7</v>
      </c>
      <c r="B28" s="37">
        <v>1</v>
      </c>
      <c r="C28" s="40">
        <f>($C$4*$D$11*$A$11^6)+($D$3*$B$11*$C$11^6)</f>
        <v>0.34389821199402909</v>
      </c>
      <c r="D28" s="37">
        <v>0.16300000000000001</v>
      </c>
      <c r="E28" s="5">
        <v>1</v>
      </c>
      <c r="F28" s="5">
        <v>0</v>
      </c>
      <c r="H28">
        <v>2</v>
      </c>
      <c r="I28">
        <v>1</v>
      </c>
      <c r="J28">
        <v>1</v>
      </c>
    </row>
    <row r="29" spans="1:18" x14ac:dyDescent="0.3">
      <c r="A29" s="37">
        <v>8</v>
      </c>
      <c r="B29" s="37">
        <v>0</v>
      </c>
      <c r="C29" s="40">
        <f>($C$4*$D$11*$A$11^7)+($D$3*$B$11*$C$11^7)</f>
        <v>0.15996926633240283</v>
      </c>
      <c r="D29" s="37">
        <v>7.2999999999999995E-2</v>
      </c>
      <c r="E29" s="5">
        <v>0</v>
      </c>
      <c r="F29" s="5">
        <v>0</v>
      </c>
      <c r="H29">
        <v>1</v>
      </c>
      <c r="I29">
        <v>1</v>
      </c>
      <c r="J29">
        <v>2</v>
      </c>
    </row>
    <row r="30" spans="1:18" x14ac:dyDescent="0.3">
      <c r="A30" s="37" t="s">
        <v>103</v>
      </c>
      <c r="B30" s="37">
        <v>0</v>
      </c>
      <c r="C30" s="40">
        <f>($C$4*$D$11*$A$11^8)+($D$3*$B$11*$C$11^8)</f>
        <v>7.4469782979534396E-2</v>
      </c>
      <c r="D30" s="37">
        <v>0.47</v>
      </c>
      <c r="E30" s="5">
        <v>0</v>
      </c>
      <c r="F30" s="5">
        <v>0</v>
      </c>
      <c r="H30">
        <v>1</v>
      </c>
      <c r="I30">
        <v>2</v>
      </c>
      <c r="J30">
        <v>1</v>
      </c>
    </row>
    <row r="31" spans="1:18" x14ac:dyDescent="0.3">
      <c r="H31">
        <v>1</v>
      </c>
      <c r="I31">
        <v>2</v>
      </c>
      <c r="J31">
        <v>2</v>
      </c>
    </row>
    <row r="32" spans="1:18" ht="14.4" customHeight="1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1</v>
      </c>
      <c r="I32">
        <v>1</v>
      </c>
      <c r="J32">
        <v>1</v>
      </c>
    </row>
    <row r="33" spans="1:10" x14ac:dyDescent="0.3">
      <c r="A33" s="53"/>
      <c r="B33" s="54"/>
      <c r="C33" s="54"/>
      <c r="D33" s="54"/>
      <c r="E33" s="54"/>
      <c r="F33" s="53"/>
      <c r="G33" s="53"/>
      <c r="H33">
        <v>2</v>
      </c>
      <c r="I33">
        <v>1</v>
      </c>
      <c r="J33">
        <v>1</v>
      </c>
    </row>
    <row r="34" spans="1:10" x14ac:dyDescent="0.3">
      <c r="A34" s="5" t="s">
        <v>87</v>
      </c>
      <c r="B34" s="64">
        <f>E24+E25+E26+E27+E28+E29+E30</f>
        <v>8</v>
      </c>
      <c r="C34" s="65"/>
      <c r="D34" s="66">
        <f>E24*1+E25*2+E26*3+E27*4+E28*5+E29*6+E30*7</f>
        <v>15</v>
      </c>
      <c r="E34" s="67"/>
      <c r="F34" s="48">
        <f>B34/D34</f>
        <v>0.53333333333333333</v>
      </c>
      <c r="G34" s="49">
        <f>F34</f>
        <v>0.53333333333333333</v>
      </c>
      <c r="H34">
        <v>1</v>
      </c>
      <c r="I34">
        <v>2</v>
      </c>
      <c r="J34">
        <v>1</v>
      </c>
    </row>
    <row r="35" spans="1:10" x14ac:dyDescent="0.3">
      <c r="A35" s="5" t="s">
        <v>53</v>
      </c>
      <c r="B35" s="64">
        <f>F24+F25+F26+F27+F28+F29+F30</f>
        <v>1</v>
      </c>
      <c r="C35" s="65"/>
      <c r="D35" s="66">
        <f>F24*1+F25*2+F26*3+F27*4+F28*5+F29*6+F30*7</f>
        <v>1</v>
      </c>
      <c r="E35" s="67"/>
      <c r="F35" s="48">
        <f>B35/D35</f>
        <v>1</v>
      </c>
      <c r="G35" s="49">
        <f>F35</f>
        <v>1</v>
      </c>
      <c r="H35">
        <v>2</v>
      </c>
      <c r="I35">
        <v>1</v>
      </c>
      <c r="J35">
        <v>2</v>
      </c>
    </row>
    <row r="36" spans="1:10" x14ac:dyDescent="0.3">
      <c r="H36">
        <v>1</v>
      </c>
      <c r="I36">
        <v>2</v>
      </c>
      <c r="J36">
        <v>1</v>
      </c>
    </row>
    <row r="37" spans="1:10" x14ac:dyDescent="0.3">
      <c r="H37">
        <v>1</v>
      </c>
      <c r="I37">
        <v>1</v>
      </c>
      <c r="J37">
        <v>1</v>
      </c>
    </row>
    <row r="38" spans="1:10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2</v>
      </c>
      <c r="I38">
        <v>1</v>
      </c>
      <c r="J38">
        <v>2</v>
      </c>
    </row>
    <row r="39" spans="1:10" x14ac:dyDescent="0.3">
      <c r="A39" s="80" t="s">
        <v>87</v>
      </c>
      <c r="B39" s="83">
        <v>8</v>
      </c>
      <c r="C39" s="83"/>
      <c r="D39" s="92">
        <v>34</v>
      </c>
      <c r="E39" s="92"/>
      <c r="F39" s="82">
        <f>SUM(B39+D39)</f>
        <v>42</v>
      </c>
      <c r="H39">
        <v>1</v>
      </c>
      <c r="I39">
        <v>1</v>
      </c>
      <c r="J39">
        <v>1</v>
      </c>
    </row>
    <row r="40" spans="1:10" x14ac:dyDescent="0.3">
      <c r="A40" s="80" t="s">
        <v>53</v>
      </c>
      <c r="B40" s="83">
        <v>1</v>
      </c>
      <c r="C40" s="83"/>
      <c r="D40" s="92">
        <v>9</v>
      </c>
      <c r="E40" s="92"/>
      <c r="F40" s="82">
        <f>SUM(B40+D40)</f>
        <v>10</v>
      </c>
      <c r="I40">
        <v>2</v>
      </c>
      <c r="J40">
        <v>2</v>
      </c>
    </row>
    <row r="41" spans="1:10" x14ac:dyDescent="0.3">
      <c r="A41" s="85"/>
      <c r="B41" s="86">
        <f>SUM(B39:B40)</f>
        <v>9</v>
      </c>
      <c r="C41" s="86"/>
      <c r="D41" s="87">
        <f>SUM(D39:D40)</f>
        <v>43</v>
      </c>
      <c r="E41" s="87"/>
      <c r="F41" s="82">
        <f>SUM(F39:F40)</f>
        <v>52</v>
      </c>
      <c r="I41">
        <v>1</v>
      </c>
      <c r="J41">
        <v>1</v>
      </c>
    </row>
    <row r="42" spans="1:10" x14ac:dyDescent="0.3">
      <c r="A42" s="40"/>
      <c r="B42" s="84" t="s">
        <v>134</v>
      </c>
      <c r="C42" s="84"/>
      <c r="D42" s="84" t="s">
        <v>132</v>
      </c>
      <c r="E42" s="84"/>
      <c r="F42" s="73"/>
      <c r="I42">
        <v>2</v>
      </c>
    </row>
    <row r="43" spans="1:10" x14ac:dyDescent="0.3">
      <c r="A43" s="82" t="s">
        <v>87</v>
      </c>
      <c r="B43" s="81">
        <f>B41*F39/F41</f>
        <v>7.2692307692307692</v>
      </c>
      <c r="C43" s="81"/>
      <c r="D43" s="81">
        <f>D41*F39/F41</f>
        <v>34.730769230769234</v>
      </c>
      <c r="E43" s="81"/>
      <c r="F43" s="73"/>
      <c r="I43">
        <v>1</v>
      </c>
    </row>
    <row r="44" spans="1:10" x14ac:dyDescent="0.3">
      <c r="A44" s="82" t="s">
        <v>53</v>
      </c>
      <c r="B44" s="81">
        <f>B41*F40/F41</f>
        <v>1.7307692307692308</v>
      </c>
      <c r="C44" s="81"/>
      <c r="D44" s="81">
        <f>D41*F40/F41</f>
        <v>8.2692307692307701</v>
      </c>
      <c r="E44" s="81"/>
      <c r="F44" s="73"/>
      <c r="I44">
        <v>2</v>
      </c>
    </row>
    <row r="45" spans="1:10" x14ac:dyDescent="0.3">
      <c r="A45" s="88"/>
      <c r="B45" s="88"/>
      <c r="C45" s="88"/>
      <c r="D45" s="88"/>
      <c r="E45" s="88"/>
      <c r="F45" s="73"/>
      <c r="I45">
        <v>2</v>
      </c>
    </row>
    <row r="46" spans="1:10" x14ac:dyDescent="0.3">
      <c r="A46" s="88" t="s">
        <v>135</v>
      </c>
      <c r="B46" s="89">
        <f>CHITEST(B39:E40,B43:E44)</f>
        <v>0.92716417511286364</v>
      </c>
      <c r="C46" s="88"/>
      <c r="D46" s="88"/>
      <c r="E46" s="88"/>
      <c r="F46" s="73"/>
      <c r="I46">
        <v>1</v>
      </c>
    </row>
  </sheetData>
  <mergeCells count="38">
    <mergeCell ref="B44:C44"/>
    <mergeCell ref="D44:E44"/>
    <mergeCell ref="B41:C41"/>
    <mergeCell ref="D41:E41"/>
    <mergeCell ref="B42:C42"/>
    <mergeCell ref="D42:E42"/>
    <mergeCell ref="B43:C43"/>
    <mergeCell ref="D43:E43"/>
    <mergeCell ref="B38:C38"/>
    <mergeCell ref="D38:E38"/>
    <mergeCell ref="B39:C39"/>
    <mergeCell ref="D39:E39"/>
    <mergeCell ref="B40:C40"/>
    <mergeCell ref="D40:E40"/>
    <mergeCell ref="B34:C34"/>
    <mergeCell ref="D34:E34"/>
    <mergeCell ref="B35:C35"/>
    <mergeCell ref="D35:E35"/>
    <mergeCell ref="A32:A33"/>
    <mergeCell ref="B32:C33"/>
    <mergeCell ref="D32:E33"/>
    <mergeCell ref="F32:F33"/>
    <mergeCell ref="G32:G33"/>
    <mergeCell ref="N14:N16"/>
    <mergeCell ref="O1:Q1"/>
    <mergeCell ref="N2:N4"/>
    <mergeCell ref="O7:Q7"/>
    <mergeCell ref="N8:N10"/>
    <mergeCell ref="O13:Q13"/>
    <mergeCell ref="B1:D1"/>
    <mergeCell ref="A2:A4"/>
    <mergeCell ref="E10:F12"/>
    <mergeCell ref="A18:A21"/>
    <mergeCell ref="B18:B21"/>
    <mergeCell ref="C18:C21"/>
    <mergeCell ref="D18:D21"/>
    <mergeCell ref="E18:E21"/>
    <mergeCell ref="F18:F21"/>
  </mergeCells>
  <conditionalFormatting sqref="H1:J46">
    <cfRule type="cellIs" dxfId="136" priority="5" operator="equal">
      <formula>1</formula>
    </cfRule>
    <cfRule type="cellIs" dxfId="135" priority="6" operator="equal">
      <formula>2</formula>
    </cfRule>
  </conditionalFormatting>
  <conditionalFormatting sqref="A43:B44 A45:E46 D42:D44 B42">
    <cfRule type="cellIs" dxfId="63" priority="1" operator="equal">
      <formula>1</formula>
    </cfRule>
    <cfRule type="cellIs" dxfId="62" priority="2" operator="equal">
      <formula>2</formula>
    </cfRule>
    <cfRule type="cellIs" dxfId="61" priority="3" operator="equal">
      <formula>1</formula>
    </cfRule>
    <cfRule type="cellIs" dxfId="60" priority="4" operator="equal">
      <formula>2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D1EE-6438-4940-A034-3872D90D88E6}">
  <dimension ref="A1:W51"/>
  <sheetViews>
    <sheetView topLeftCell="A23" workbookViewId="0">
      <selection activeCell="D41" sqref="D41:E41"/>
    </sheetView>
  </sheetViews>
  <sheetFormatPr defaultRowHeight="14.4" x14ac:dyDescent="0.3"/>
  <cols>
    <col min="3" max="3" width="10.109375" customWidth="1"/>
  </cols>
  <sheetData>
    <row r="1" spans="1:23" x14ac:dyDescent="0.3">
      <c r="A1" s="5"/>
      <c r="B1" s="53" t="s">
        <v>90</v>
      </c>
      <c r="C1" s="53"/>
      <c r="D1" s="53"/>
      <c r="E1" s="5"/>
      <c r="G1" t="s">
        <v>99</v>
      </c>
    </row>
    <row r="2" spans="1:23" ht="28.8" x14ac:dyDescent="0.3">
      <c r="A2" s="53" t="s">
        <v>89</v>
      </c>
      <c r="B2" s="5"/>
      <c r="C2" s="5" t="s">
        <v>87</v>
      </c>
      <c r="D2" s="37" t="s">
        <v>55</v>
      </c>
      <c r="E2" s="5" t="s">
        <v>88</v>
      </c>
      <c r="G2" t="s">
        <v>100</v>
      </c>
    </row>
    <row r="3" spans="1:23" x14ac:dyDescent="0.3">
      <c r="A3" s="53"/>
      <c r="B3" s="5" t="s">
        <v>87</v>
      </c>
      <c r="C3" s="7">
        <v>35</v>
      </c>
      <c r="D3" s="7">
        <v>38</v>
      </c>
      <c r="E3" s="7">
        <f>C3+D3</f>
        <v>73</v>
      </c>
    </row>
    <row r="4" spans="1:23" ht="28.8" x14ac:dyDescent="0.3">
      <c r="A4" s="53"/>
      <c r="B4" s="37" t="s">
        <v>55</v>
      </c>
      <c r="C4" s="7">
        <v>40</v>
      </c>
      <c r="D4" s="7">
        <v>16</v>
      </c>
      <c r="E4" s="7">
        <f>C4+D4</f>
        <v>56</v>
      </c>
    </row>
    <row r="5" spans="1:23" x14ac:dyDescent="0.3">
      <c r="A5" s="5" t="s">
        <v>88</v>
      </c>
      <c r="B5" s="5"/>
      <c r="C5" s="7">
        <f>C3+C4</f>
        <v>75</v>
      </c>
      <c r="D5" s="7">
        <f>D3+D4</f>
        <v>54</v>
      </c>
      <c r="E5" s="7">
        <f>E3+E4</f>
        <v>129</v>
      </c>
      <c r="H5">
        <v>2</v>
      </c>
      <c r="I5">
        <v>1</v>
      </c>
      <c r="J5">
        <v>2</v>
      </c>
      <c r="N5" s="5" t="s">
        <v>113</v>
      </c>
      <c r="O5" s="53" t="s">
        <v>90</v>
      </c>
      <c r="P5" s="53"/>
      <c r="Q5" s="53"/>
      <c r="R5" s="5"/>
      <c r="T5" s="9" t="s">
        <v>83</v>
      </c>
      <c r="U5" s="9" t="s">
        <v>84</v>
      </c>
      <c r="V5" s="9" t="s">
        <v>85</v>
      </c>
      <c r="W5" s="9" t="s">
        <v>86</v>
      </c>
    </row>
    <row r="6" spans="1:23" x14ac:dyDescent="0.3">
      <c r="H6">
        <v>1</v>
      </c>
      <c r="I6">
        <v>2</v>
      </c>
      <c r="J6">
        <v>1</v>
      </c>
      <c r="N6" s="53" t="s">
        <v>89</v>
      </c>
      <c r="O6" s="5"/>
      <c r="P6" s="5" t="s">
        <v>87</v>
      </c>
      <c r="Q6" s="5" t="s">
        <v>121</v>
      </c>
      <c r="R6" s="5" t="s">
        <v>88</v>
      </c>
      <c r="T6" s="41">
        <f>P7/(P7+Q7)</f>
        <v>0.5</v>
      </c>
      <c r="U6" s="41">
        <f>1-T6</f>
        <v>0.5</v>
      </c>
      <c r="V6" s="41">
        <f>Q8/(Q8+P8)</f>
        <v>0.13333333333333333</v>
      </c>
      <c r="W6" s="41">
        <f>1-V6</f>
        <v>0.8666666666666667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2</v>
      </c>
      <c r="I7">
        <v>2</v>
      </c>
      <c r="J7">
        <v>1</v>
      </c>
      <c r="N7" s="53"/>
      <c r="O7" s="5" t="s">
        <v>87</v>
      </c>
      <c r="P7" s="7">
        <v>12</v>
      </c>
      <c r="Q7" s="7">
        <v>12</v>
      </c>
      <c r="R7" s="7">
        <f>P7+Q7</f>
        <v>24</v>
      </c>
      <c r="T7" t="s">
        <v>116</v>
      </c>
    </row>
    <row r="8" spans="1:23" x14ac:dyDescent="0.3">
      <c r="A8" s="8">
        <f>C3/C5</f>
        <v>0.46666666666666667</v>
      </c>
      <c r="B8" s="8">
        <f>1-A8</f>
        <v>0.53333333333333333</v>
      </c>
      <c r="C8" s="8">
        <f>D4/E4</f>
        <v>0.2857142857142857</v>
      </c>
      <c r="D8" s="8">
        <f>1-C8</f>
        <v>0.7142857142857143</v>
      </c>
      <c r="H8">
        <v>1</v>
      </c>
      <c r="I8">
        <v>1</v>
      </c>
      <c r="J8">
        <v>2</v>
      </c>
      <c r="N8" s="53"/>
      <c r="O8" s="5" t="s">
        <v>121</v>
      </c>
      <c r="P8" s="7">
        <v>13</v>
      </c>
      <c r="Q8" s="7">
        <v>2</v>
      </c>
      <c r="R8" s="7">
        <f>P8+Q8</f>
        <v>15</v>
      </c>
    </row>
    <row r="9" spans="1:23" x14ac:dyDescent="0.3">
      <c r="H9">
        <v>2</v>
      </c>
      <c r="I9">
        <v>2</v>
      </c>
      <c r="J9">
        <v>1</v>
      </c>
      <c r="N9" s="5" t="s">
        <v>88</v>
      </c>
      <c r="O9" s="5"/>
      <c r="P9" s="7">
        <f>P7+P8</f>
        <v>25</v>
      </c>
      <c r="Q9" s="7">
        <f>Q7+Q8</f>
        <v>14</v>
      </c>
      <c r="R9" s="7">
        <f>R7+R8</f>
        <v>39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1</v>
      </c>
      <c r="I10">
        <v>1</v>
      </c>
      <c r="J10">
        <v>2</v>
      </c>
    </row>
    <row r="11" spans="1:23" x14ac:dyDescent="0.3">
      <c r="A11" s="43">
        <f>C3/E3</f>
        <v>0.47945205479452052</v>
      </c>
      <c r="B11" s="43">
        <f>1-A11</f>
        <v>0.52054794520547953</v>
      </c>
      <c r="C11" s="43">
        <f>D4/E4</f>
        <v>0.2857142857142857</v>
      </c>
      <c r="D11" s="43">
        <f>1-C11</f>
        <v>0.7142857142857143</v>
      </c>
      <c r="E11" s="59"/>
      <c r="F11" s="59"/>
      <c r="H11">
        <v>1</v>
      </c>
      <c r="I11">
        <v>2</v>
      </c>
      <c r="J11">
        <v>1</v>
      </c>
      <c r="N11" s="5" t="s">
        <v>114</v>
      </c>
      <c r="O11" s="53" t="s">
        <v>90</v>
      </c>
      <c r="P11" s="53"/>
      <c r="Q11" s="53"/>
      <c r="R11" s="5"/>
      <c r="T11" s="9" t="s">
        <v>83</v>
      </c>
      <c r="U11" s="9" t="s">
        <v>84</v>
      </c>
      <c r="V11" s="9" t="s">
        <v>85</v>
      </c>
      <c r="W11" s="9" t="s">
        <v>86</v>
      </c>
    </row>
    <row r="12" spans="1:23" x14ac:dyDescent="0.3">
      <c r="E12" s="59"/>
      <c r="F12" s="59"/>
      <c r="H12">
        <v>2</v>
      </c>
      <c r="I12">
        <v>1</v>
      </c>
      <c r="J12">
        <v>1</v>
      </c>
      <c r="N12" s="53" t="s">
        <v>89</v>
      </c>
      <c r="O12" s="5"/>
      <c r="P12" s="5" t="s">
        <v>87</v>
      </c>
      <c r="Q12" s="5" t="s">
        <v>121</v>
      </c>
      <c r="R12" s="5" t="s">
        <v>88</v>
      </c>
      <c r="T12" s="41">
        <f>P13/(P13+Q13)</f>
        <v>0.36</v>
      </c>
      <c r="U12" s="41">
        <f>1-T12</f>
        <v>0.64</v>
      </c>
      <c r="V12" s="41">
        <f>Q14/(Q14+P14)</f>
        <v>0.15789473684210525</v>
      </c>
      <c r="W12" s="41">
        <f>1-V12</f>
        <v>0.84210526315789469</v>
      </c>
    </row>
    <row r="13" spans="1:23" x14ac:dyDescent="0.3">
      <c r="H13">
        <v>1</v>
      </c>
      <c r="I13">
        <v>2</v>
      </c>
      <c r="J13">
        <v>1</v>
      </c>
      <c r="N13" s="53"/>
      <c r="O13" s="5" t="s">
        <v>87</v>
      </c>
      <c r="P13" s="7">
        <v>9</v>
      </c>
      <c r="Q13" s="7">
        <v>16</v>
      </c>
      <c r="R13" s="7">
        <f>P13+Q13</f>
        <v>25</v>
      </c>
    </row>
    <row r="14" spans="1:23" x14ac:dyDescent="0.3">
      <c r="H14">
        <v>1</v>
      </c>
      <c r="I14">
        <v>1</v>
      </c>
      <c r="J14">
        <v>2</v>
      </c>
      <c r="N14" s="53"/>
      <c r="O14" s="5" t="s">
        <v>121</v>
      </c>
      <c r="P14" s="7">
        <v>16</v>
      </c>
      <c r="Q14" s="7">
        <v>3</v>
      </c>
      <c r="R14" s="7">
        <f>P14+Q14</f>
        <v>19</v>
      </c>
    </row>
    <row r="15" spans="1:23" x14ac:dyDescent="0.3">
      <c r="H15">
        <v>1</v>
      </c>
      <c r="I15">
        <v>2</v>
      </c>
      <c r="J15">
        <v>2</v>
      </c>
      <c r="N15" s="5" t="s">
        <v>88</v>
      </c>
      <c r="O15" s="5"/>
      <c r="P15" s="7">
        <f>P13+P14</f>
        <v>25</v>
      </c>
      <c r="Q15" s="7">
        <f>Q13+Q14</f>
        <v>19</v>
      </c>
      <c r="R15" s="7">
        <f>R13+R14</f>
        <v>44</v>
      </c>
    </row>
    <row r="16" spans="1:23" x14ac:dyDescent="0.3">
      <c r="H16">
        <v>1</v>
      </c>
      <c r="I16">
        <v>1</v>
      </c>
      <c r="J16">
        <v>1</v>
      </c>
    </row>
    <row r="17" spans="1:23" x14ac:dyDescent="0.3">
      <c r="H17">
        <v>2</v>
      </c>
      <c r="I17">
        <v>2</v>
      </c>
      <c r="J17">
        <v>1</v>
      </c>
      <c r="N17" s="5" t="s">
        <v>115</v>
      </c>
      <c r="O17" s="53" t="s">
        <v>90</v>
      </c>
      <c r="P17" s="53"/>
      <c r="Q17" s="53"/>
      <c r="R17" s="5"/>
      <c r="T17" s="9" t="s">
        <v>83</v>
      </c>
      <c r="U17" s="9" t="s">
        <v>84</v>
      </c>
      <c r="V17" s="9" t="s">
        <v>85</v>
      </c>
      <c r="W17" s="9" t="s">
        <v>86</v>
      </c>
    </row>
    <row r="18" spans="1:23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1</v>
      </c>
      <c r="I18">
        <v>1</v>
      </c>
      <c r="J18">
        <v>2</v>
      </c>
      <c r="N18" s="53" t="s">
        <v>89</v>
      </c>
      <c r="O18" s="5"/>
      <c r="P18" s="5" t="s">
        <v>87</v>
      </c>
      <c r="Q18" s="5" t="s">
        <v>121</v>
      </c>
      <c r="R18" s="5" t="s">
        <v>88</v>
      </c>
      <c r="T18" s="41">
        <f>P19/(P19+Q19)</f>
        <v>0.58333333333333337</v>
      </c>
      <c r="U18" s="41">
        <f>1-T18</f>
        <v>0.41666666666666663</v>
      </c>
      <c r="V18" s="41">
        <f>Q20/(Q20+P20)</f>
        <v>0.5</v>
      </c>
      <c r="W18" s="41">
        <f>1-V18</f>
        <v>0.5</v>
      </c>
    </row>
    <row r="19" spans="1:23" x14ac:dyDescent="0.3">
      <c r="A19" s="54"/>
      <c r="B19" s="54"/>
      <c r="C19" s="69"/>
      <c r="D19" s="54"/>
      <c r="E19" s="54"/>
      <c r="F19" s="54"/>
      <c r="H19">
        <v>2</v>
      </c>
      <c r="I19">
        <v>1</v>
      </c>
      <c r="J19">
        <v>2</v>
      </c>
      <c r="N19" s="53"/>
      <c r="O19" s="5" t="s">
        <v>87</v>
      </c>
      <c r="P19" s="7">
        <v>14</v>
      </c>
      <c r="Q19" s="7">
        <v>10</v>
      </c>
      <c r="R19" s="7">
        <f>P19+Q19</f>
        <v>24</v>
      </c>
    </row>
    <row r="20" spans="1:23" x14ac:dyDescent="0.3">
      <c r="A20" s="54"/>
      <c r="B20" s="54"/>
      <c r="C20" s="69"/>
      <c r="D20" s="54"/>
      <c r="E20" s="54"/>
      <c r="F20" s="54"/>
      <c r="H20">
        <v>1</v>
      </c>
      <c r="I20">
        <v>2</v>
      </c>
      <c r="J20">
        <v>2</v>
      </c>
      <c r="N20" s="53"/>
      <c r="O20" s="5" t="s">
        <v>121</v>
      </c>
      <c r="P20" s="7">
        <v>11</v>
      </c>
      <c r="Q20" s="7">
        <v>11</v>
      </c>
      <c r="R20" s="7">
        <f>P20+Q20</f>
        <v>22</v>
      </c>
    </row>
    <row r="21" spans="1:23" x14ac:dyDescent="0.3">
      <c r="A21" s="54"/>
      <c r="B21" s="54"/>
      <c r="C21" s="70"/>
      <c r="D21" s="54"/>
      <c r="E21" s="54"/>
      <c r="F21" s="54"/>
      <c r="H21">
        <v>2</v>
      </c>
      <c r="I21">
        <v>2</v>
      </c>
      <c r="J21">
        <v>2</v>
      </c>
      <c r="N21" s="5" t="s">
        <v>88</v>
      </c>
      <c r="O21" s="5"/>
      <c r="P21" s="7">
        <f>P19+P20</f>
        <v>25</v>
      </c>
      <c r="Q21" s="7">
        <f>Q19+Q20</f>
        <v>21</v>
      </c>
      <c r="R21" s="7">
        <f>R19+R20</f>
        <v>46</v>
      </c>
    </row>
    <row r="22" spans="1:23" x14ac:dyDescent="0.3">
      <c r="A22" s="37">
        <v>1</v>
      </c>
      <c r="B22" s="37">
        <v>46</v>
      </c>
      <c r="C22" s="40">
        <f>($C$4*$D$11*$A$11^0)+($D$3*$B$11*$C$11^0)</f>
        <v>48.352250489236795</v>
      </c>
      <c r="D22" s="37">
        <v>52.158000000000001</v>
      </c>
      <c r="E22" s="5" t="s">
        <v>125</v>
      </c>
      <c r="F22" s="5" t="s">
        <v>125</v>
      </c>
      <c r="H22">
        <v>2</v>
      </c>
      <c r="I22">
        <v>1</v>
      </c>
      <c r="J22">
        <v>2</v>
      </c>
    </row>
    <row r="23" spans="1:23" x14ac:dyDescent="0.3">
      <c r="A23" s="37">
        <v>2</v>
      </c>
      <c r="B23" s="37">
        <v>19</v>
      </c>
      <c r="C23" s="40">
        <f>($C$4*$D$11*$A$11^1)+($D$3*$B$11*$C$11^1)</f>
        <v>19.350293542074365</v>
      </c>
      <c r="D23" s="37">
        <v>16.134</v>
      </c>
      <c r="E23" s="5" t="s">
        <v>125</v>
      </c>
      <c r="F23" s="5" t="s">
        <v>125</v>
      </c>
      <c r="H23">
        <v>1</v>
      </c>
      <c r="I23">
        <v>1</v>
      </c>
      <c r="J23">
        <v>1</v>
      </c>
    </row>
    <row r="24" spans="1:23" x14ac:dyDescent="0.3">
      <c r="A24" s="37">
        <v>3</v>
      </c>
      <c r="B24" s="37">
        <v>9</v>
      </c>
      <c r="C24" s="40">
        <f>($C$4*$D$11*$A$11^2)+($D$3*$B$11*$C$11^2)</f>
        <v>8.1825973399305294</v>
      </c>
      <c r="D24" s="37">
        <v>6.5140000000000002</v>
      </c>
      <c r="E24" s="37">
        <v>7</v>
      </c>
      <c r="F24" s="5">
        <v>2</v>
      </c>
      <c r="H24">
        <v>2</v>
      </c>
      <c r="I24">
        <v>1</v>
      </c>
      <c r="J24">
        <v>1</v>
      </c>
    </row>
    <row r="25" spans="1:23" x14ac:dyDescent="0.3">
      <c r="A25" s="37">
        <v>4</v>
      </c>
      <c r="B25" s="37">
        <v>2</v>
      </c>
      <c r="C25" s="40">
        <f>($C$4*$D$11*$A$11^3)+($D$3*$B$11*$C$11^3)</f>
        <v>3.6103229197018232</v>
      </c>
      <c r="D25" s="37">
        <v>2.7530000000000001</v>
      </c>
      <c r="E25" s="5">
        <v>2</v>
      </c>
      <c r="F25" s="5">
        <v>0</v>
      </c>
      <c r="H25">
        <v>1</v>
      </c>
      <c r="I25">
        <v>2</v>
      </c>
      <c r="J25">
        <v>1</v>
      </c>
    </row>
    <row r="26" spans="1:23" x14ac:dyDescent="0.3">
      <c r="A26" s="37">
        <v>5</v>
      </c>
      <c r="B26" s="37">
        <v>2</v>
      </c>
      <c r="C26" s="40">
        <f>($C$4*$D$11*$A$11^4)+($D$3*$B$11*$C$11^4)</f>
        <v>1.6415938313273499</v>
      </c>
      <c r="D26" s="37">
        <v>1.3080000000000001</v>
      </c>
      <c r="E26" s="5">
        <v>1</v>
      </c>
      <c r="F26" s="5">
        <v>1</v>
      </c>
      <c r="H26">
        <v>1</v>
      </c>
      <c r="I26">
        <v>1</v>
      </c>
      <c r="J26">
        <v>2</v>
      </c>
    </row>
    <row r="27" spans="1:23" x14ac:dyDescent="0.3">
      <c r="A27" s="37">
        <v>6</v>
      </c>
      <c r="B27" s="37">
        <v>0</v>
      </c>
      <c r="C27" s="40">
        <f>($C$4*$D$11*$A$11^5)+($D$3*$B$11*$C$11^5)</f>
        <v>0.76152756099778107</v>
      </c>
      <c r="D27" s="37">
        <v>0.58099999999999996</v>
      </c>
      <c r="E27" s="5">
        <v>0</v>
      </c>
      <c r="F27" s="5">
        <v>0</v>
      </c>
      <c r="H27">
        <v>1</v>
      </c>
      <c r="I27">
        <v>1</v>
      </c>
      <c r="J27">
        <v>2</v>
      </c>
    </row>
    <row r="28" spans="1:23" x14ac:dyDescent="0.3">
      <c r="A28" s="37">
        <v>7</v>
      </c>
      <c r="B28" s="37">
        <v>0</v>
      </c>
      <c r="C28" s="40">
        <f>($C$4*$D$11*$A$11^6)+($D$3*$B$11*$C$11^6)</f>
        <v>0.35781938974015243</v>
      </c>
      <c r="D28" s="37">
        <v>0.29699999999999999</v>
      </c>
      <c r="E28" s="5">
        <v>0</v>
      </c>
      <c r="F28" s="5">
        <v>0</v>
      </c>
      <c r="H28">
        <v>1</v>
      </c>
      <c r="I28">
        <v>2</v>
      </c>
      <c r="J28">
        <v>1</v>
      </c>
    </row>
    <row r="29" spans="1:23" x14ac:dyDescent="0.3">
      <c r="A29" s="37">
        <v>8</v>
      </c>
      <c r="B29" s="37">
        <v>0</v>
      </c>
      <c r="C29" s="40">
        <f>($C$4*$D$11*$A$11^7)+($D$3*$B$11*$C$11^7)</f>
        <v>0.16947250903826799</v>
      </c>
      <c r="D29" s="37">
        <v>0.125</v>
      </c>
      <c r="E29" s="5">
        <v>0</v>
      </c>
      <c r="F29" s="5">
        <v>0</v>
      </c>
      <c r="H29">
        <v>2</v>
      </c>
      <c r="I29">
        <v>1</v>
      </c>
      <c r="J29">
        <v>1</v>
      </c>
    </row>
    <row r="30" spans="1:23" x14ac:dyDescent="0.3">
      <c r="A30" s="37" t="s">
        <v>103</v>
      </c>
      <c r="B30" s="37">
        <v>0</v>
      </c>
      <c r="C30" s="40">
        <f>($C$4*$D$11*$A$11^8)+($D$3*$B$11*$C$11^8)</f>
        <v>8.0658304798732122E-2</v>
      </c>
      <c r="D30" s="37">
        <v>9.5000000000000001E-2</v>
      </c>
      <c r="E30" s="5">
        <v>0</v>
      </c>
      <c r="F30" s="5">
        <v>0</v>
      </c>
      <c r="H30">
        <v>1</v>
      </c>
      <c r="I30">
        <v>2</v>
      </c>
      <c r="J30">
        <v>1</v>
      </c>
    </row>
    <row r="31" spans="1:23" x14ac:dyDescent="0.3">
      <c r="H31">
        <v>1</v>
      </c>
      <c r="I31">
        <v>1</v>
      </c>
      <c r="J31">
        <v>2</v>
      </c>
    </row>
    <row r="32" spans="1:23" ht="14.4" customHeight="1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1</v>
      </c>
      <c r="I32">
        <v>1</v>
      </c>
      <c r="J32">
        <v>2</v>
      </c>
    </row>
    <row r="33" spans="1:10" x14ac:dyDescent="0.3">
      <c r="A33" s="53"/>
      <c r="B33" s="54"/>
      <c r="C33" s="54"/>
      <c r="D33" s="54"/>
      <c r="E33" s="54"/>
      <c r="F33" s="53"/>
      <c r="G33" s="53"/>
      <c r="H33">
        <v>2</v>
      </c>
      <c r="I33">
        <v>2</v>
      </c>
      <c r="J33">
        <v>2</v>
      </c>
    </row>
    <row r="34" spans="1:10" x14ac:dyDescent="0.3">
      <c r="A34" s="5" t="s">
        <v>87</v>
      </c>
      <c r="B34" s="64">
        <f>E24+E25+E26+E27+E28+E29+E30</f>
        <v>10</v>
      </c>
      <c r="C34" s="65"/>
      <c r="D34" s="66">
        <f>E24*1+E25*2+E26*3+E27*4+E28*5+E29*6+E30*7</f>
        <v>14</v>
      </c>
      <c r="E34" s="67"/>
      <c r="F34" s="48">
        <f>B34/D34</f>
        <v>0.7142857142857143</v>
      </c>
      <c r="G34" s="49">
        <f>F34</f>
        <v>0.7142857142857143</v>
      </c>
      <c r="H34">
        <v>1</v>
      </c>
      <c r="I34">
        <v>1</v>
      </c>
      <c r="J34">
        <v>1</v>
      </c>
    </row>
    <row r="35" spans="1:10" x14ac:dyDescent="0.3">
      <c r="A35" s="5" t="s">
        <v>121</v>
      </c>
      <c r="B35" s="64">
        <f>F24+F25+F26+F27+F28+F29+F30</f>
        <v>3</v>
      </c>
      <c r="C35" s="65"/>
      <c r="D35" s="66">
        <f>F24*1+F25*2+F26*3+F27*4+F28*5+F29*6+F30*7</f>
        <v>5</v>
      </c>
      <c r="E35" s="67"/>
      <c r="F35" s="48">
        <f>B35/D35</f>
        <v>0.6</v>
      </c>
      <c r="G35" s="49">
        <f>F35</f>
        <v>0.6</v>
      </c>
      <c r="H35">
        <v>1</v>
      </c>
      <c r="I35">
        <v>1</v>
      </c>
      <c r="J35">
        <v>1</v>
      </c>
    </row>
    <row r="36" spans="1:10" x14ac:dyDescent="0.3">
      <c r="H36">
        <v>2</v>
      </c>
      <c r="I36">
        <v>2</v>
      </c>
      <c r="J36">
        <v>1</v>
      </c>
    </row>
    <row r="37" spans="1:10" x14ac:dyDescent="0.3">
      <c r="H37">
        <v>2</v>
      </c>
      <c r="I37">
        <v>1</v>
      </c>
      <c r="J37">
        <v>2</v>
      </c>
    </row>
    <row r="38" spans="1:10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1</v>
      </c>
      <c r="I38">
        <v>2</v>
      </c>
      <c r="J38">
        <v>1</v>
      </c>
    </row>
    <row r="39" spans="1:10" x14ac:dyDescent="0.3">
      <c r="A39" s="80" t="s">
        <v>87</v>
      </c>
      <c r="B39" s="83">
        <v>10</v>
      </c>
      <c r="C39" s="83"/>
      <c r="D39" s="92">
        <v>35</v>
      </c>
      <c r="E39" s="92"/>
      <c r="F39" s="82">
        <f>SUM(B39+D39)</f>
        <v>45</v>
      </c>
      <c r="H39">
        <v>1</v>
      </c>
      <c r="I39">
        <v>1</v>
      </c>
      <c r="J39">
        <v>1</v>
      </c>
    </row>
    <row r="40" spans="1:10" x14ac:dyDescent="0.3">
      <c r="A40" s="80" t="s">
        <v>121</v>
      </c>
      <c r="B40" s="83">
        <v>3</v>
      </c>
      <c r="C40" s="83"/>
      <c r="D40" s="92">
        <v>16</v>
      </c>
      <c r="E40" s="92"/>
      <c r="F40" s="82">
        <f>SUM(B40+D40)</f>
        <v>19</v>
      </c>
      <c r="H40">
        <v>2</v>
      </c>
      <c r="I40">
        <v>1</v>
      </c>
      <c r="J40">
        <v>1</v>
      </c>
    </row>
    <row r="41" spans="1:10" x14ac:dyDescent="0.3">
      <c r="A41" s="85"/>
      <c r="B41" s="86">
        <f>SUM(B39:B40)</f>
        <v>13</v>
      </c>
      <c r="C41" s="86"/>
      <c r="D41" s="87">
        <f>SUM(D39:D40)</f>
        <v>51</v>
      </c>
      <c r="E41" s="87"/>
      <c r="F41" s="82">
        <f>SUM(F39:F40)</f>
        <v>64</v>
      </c>
      <c r="H41">
        <v>1</v>
      </c>
      <c r="I41">
        <v>2</v>
      </c>
      <c r="J41">
        <v>1</v>
      </c>
    </row>
    <row r="42" spans="1:10" x14ac:dyDescent="0.3">
      <c r="A42" s="40"/>
      <c r="B42" s="84" t="s">
        <v>134</v>
      </c>
      <c r="C42" s="84"/>
      <c r="D42" s="84" t="s">
        <v>132</v>
      </c>
      <c r="E42" s="84"/>
      <c r="F42" s="73"/>
      <c r="H42">
        <v>2</v>
      </c>
      <c r="I42">
        <v>1</v>
      </c>
      <c r="J42">
        <v>1</v>
      </c>
    </row>
    <row r="43" spans="1:10" x14ac:dyDescent="0.3">
      <c r="A43" s="82" t="s">
        <v>87</v>
      </c>
      <c r="B43" s="81">
        <f>B41*F39/F41</f>
        <v>9.140625</v>
      </c>
      <c r="C43" s="81"/>
      <c r="D43" s="81">
        <f>D41*F39/F41</f>
        <v>35.859375</v>
      </c>
      <c r="E43" s="81"/>
      <c r="F43" s="73"/>
      <c r="H43">
        <v>1</v>
      </c>
      <c r="I43">
        <v>2</v>
      </c>
      <c r="J43">
        <v>2</v>
      </c>
    </row>
    <row r="44" spans="1:10" x14ac:dyDescent="0.3">
      <c r="A44" s="82" t="s">
        <v>121</v>
      </c>
      <c r="B44" s="81">
        <f>B41*F40/F41</f>
        <v>3.859375</v>
      </c>
      <c r="C44" s="81"/>
      <c r="D44" s="81">
        <f>D41*F40/F41</f>
        <v>15.140625</v>
      </c>
      <c r="E44" s="81"/>
      <c r="F44" s="73"/>
      <c r="H44">
        <v>1</v>
      </c>
      <c r="I44">
        <v>1</v>
      </c>
      <c r="J44">
        <v>2</v>
      </c>
    </row>
    <row r="45" spans="1:10" x14ac:dyDescent="0.3">
      <c r="A45" s="88"/>
      <c r="B45" s="88"/>
      <c r="C45" s="88"/>
      <c r="D45" s="88"/>
      <c r="E45" s="88"/>
      <c r="F45" s="73"/>
      <c r="I45">
        <v>1</v>
      </c>
      <c r="J45">
        <v>1</v>
      </c>
    </row>
    <row r="46" spans="1:10" x14ac:dyDescent="0.3">
      <c r="A46" s="88" t="s">
        <v>135</v>
      </c>
      <c r="B46" s="89">
        <f>CHITEST(B39:E40,B43:E44)</f>
        <v>0.95203807098029247</v>
      </c>
      <c r="C46" s="88"/>
      <c r="D46" s="88"/>
      <c r="E46" s="88"/>
      <c r="F46" s="73"/>
      <c r="I46">
        <v>1</v>
      </c>
      <c r="J46">
        <v>2</v>
      </c>
    </row>
    <row r="47" spans="1:10" x14ac:dyDescent="0.3">
      <c r="I47">
        <v>2</v>
      </c>
      <c r="J47">
        <v>2</v>
      </c>
    </row>
    <row r="48" spans="1:10" x14ac:dyDescent="0.3">
      <c r="I48">
        <v>2</v>
      </c>
      <c r="J48">
        <v>2</v>
      </c>
    </row>
    <row r="49" spans="9:10" x14ac:dyDescent="0.3">
      <c r="I49">
        <v>1</v>
      </c>
      <c r="J49">
        <v>1</v>
      </c>
    </row>
    <row r="50" spans="9:10" x14ac:dyDescent="0.3">
      <c r="J50">
        <v>2</v>
      </c>
    </row>
    <row r="51" spans="9:10" x14ac:dyDescent="0.3">
      <c r="J51">
        <v>1</v>
      </c>
    </row>
  </sheetData>
  <mergeCells count="38">
    <mergeCell ref="B44:C44"/>
    <mergeCell ref="D44:E44"/>
    <mergeCell ref="B41:C41"/>
    <mergeCell ref="D41:E41"/>
    <mergeCell ref="B42:C42"/>
    <mergeCell ref="D42:E42"/>
    <mergeCell ref="B43:C43"/>
    <mergeCell ref="D43:E43"/>
    <mergeCell ref="B38:C38"/>
    <mergeCell ref="D38:E38"/>
    <mergeCell ref="B39:C39"/>
    <mergeCell ref="D39:E39"/>
    <mergeCell ref="B40:C40"/>
    <mergeCell ref="D40:E40"/>
    <mergeCell ref="B34:C34"/>
    <mergeCell ref="D34:E34"/>
    <mergeCell ref="B35:C35"/>
    <mergeCell ref="D35:E35"/>
    <mergeCell ref="A32:A33"/>
    <mergeCell ref="B32:C33"/>
    <mergeCell ref="D32:E33"/>
    <mergeCell ref="F32:F33"/>
    <mergeCell ref="G32:G33"/>
    <mergeCell ref="N18:N20"/>
    <mergeCell ref="O5:Q5"/>
    <mergeCell ref="N6:N8"/>
    <mergeCell ref="O11:Q11"/>
    <mergeCell ref="N12:N14"/>
    <mergeCell ref="O17:Q17"/>
    <mergeCell ref="B1:D1"/>
    <mergeCell ref="A2:A4"/>
    <mergeCell ref="E10:F12"/>
    <mergeCell ref="A18:A21"/>
    <mergeCell ref="B18:B21"/>
    <mergeCell ref="C18:C21"/>
    <mergeCell ref="D18:D21"/>
    <mergeCell ref="E18:E21"/>
    <mergeCell ref="F18:F21"/>
  </mergeCells>
  <conditionalFormatting sqref="H5:J51">
    <cfRule type="cellIs" dxfId="134" priority="5" operator="equal">
      <formula>1</formula>
    </cfRule>
    <cfRule type="cellIs" dxfId="133" priority="6" operator="equal">
      <formula>2</formula>
    </cfRule>
  </conditionalFormatting>
  <conditionalFormatting sqref="A43:B44 A45:E46 D42:D44 B42">
    <cfRule type="cellIs" dxfId="59" priority="1" operator="equal">
      <formula>1</formula>
    </cfRule>
    <cfRule type="cellIs" dxfId="58" priority="2" operator="equal">
      <formula>2</formula>
    </cfRule>
    <cfRule type="cellIs" dxfId="57" priority="3" operator="equal">
      <formula>1</formula>
    </cfRule>
    <cfRule type="cellIs" dxfId="56" priority="4" operator="equal">
      <formula>2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CD61-8A72-4D17-A3F3-C0FB74066C80}">
  <dimension ref="A1:W51"/>
  <sheetViews>
    <sheetView topLeftCell="A23" workbookViewId="0">
      <selection activeCell="D41" sqref="D41:E41"/>
    </sheetView>
  </sheetViews>
  <sheetFormatPr defaultRowHeight="14.4" x14ac:dyDescent="0.3"/>
  <cols>
    <col min="3" max="3" width="10.109375" customWidth="1"/>
  </cols>
  <sheetData>
    <row r="1" spans="1:23" x14ac:dyDescent="0.3">
      <c r="A1" s="5"/>
      <c r="B1" s="53" t="s">
        <v>90</v>
      </c>
      <c r="C1" s="53"/>
      <c r="D1" s="53"/>
      <c r="E1" s="5"/>
    </row>
    <row r="2" spans="1:23" ht="28.8" x14ac:dyDescent="0.3">
      <c r="A2" s="53" t="s">
        <v>89</v>
      </c>
      <c r="B2" s="5"/>
      <c r="C2" s="5" t="s">
        <v>87</v>
      </c>
      <c r="D2" s="37" t="s">
        <v>55</v>
      </c>
      <c r="E2" s="5" t="s">
        <v>88</v>
      </c>
    </row>
    <row r="3" spans="1:23" x14ac:dyDescent="0.3">
      <c r="A3" s="53"/>
      <c r="B3" s="5" t="s">
        <v>87</v>
      </c>
      <c r="C3" s="7">
        <v>32</v>
      </c>
      <c r="D3" s="7">
        <v>41</v>
      </c>
      <c r="E3" s="7">
        <f>C3+D3</f>
        <v>73</v>
      </c>
    </row>
    <row r="4" spans="1:23" ht="28.8" x14ac:dyDescent="0.3">
      <c r="A4" s="53"/>
      <c r="B4" s="37" t="s">
        <v>55</v>
      </c>
      <c r="C4" s="7">
        <v>43</v>
      </c>
      <c r="D4" s="7">
        <v>18</v>
      </c>
      <c r="E4" s="7">
        <f>C4+D4</f>
        <v>61</v>
      </c>
    </row>
    <row r="5" spans="1:23" x14ac:dyDescent="0.3">
      <c r="A5" s="5" t="s">
        <v>88</v>
      </c>
      <c r="B5" s="5"/>
      <c r="C5" s="7">
        <f>C3+C4</f>
        <v>75</v>
      </c>
      <c r="D5" s="7">
        <f>D3+D4</f>
        <v>59</v>
      </c>
      <c r="E5" s="7">
        <f>E3+E4</f>
        <v>134</v>
      </c>
      <c r="H5">
        <v>2</v>
      </c>
      <c r="I5">
        <v>1</v>
      </c>
      <c r="J5">
        <v>2</v>
      </c>
      <c r="N5" s="5" t="s">
        <v>113</v>
      </c>
      <c r="O5" s="53" t="s">
        <v>90</v>
      </c>
      <c r="P5" s="53"/>
      <c r="Q5" s="53"/>
      <c r="R5" s="5"/>
      <c r="T5" s="9" t="s">
        <v>83</v>
      </c>
      <c r="U5" s="9" t="s">
        <v>84</v>
      </c>
      <c r="V5" s="9" t="s">
        <v>85</v>
      </c>
      <c r="W5" s="9" t="s">
        <v>86</v>
      </c>
    </row>
    <row r="6" spans="1:23" x14ac:dyDescent="0.3">
      <c r="H6">
        <v>1</v>
      </c>
      <c r="I6">
        <v>2</v>
      </c>
      <c r="J6">
        <v>1</v>
      </c>
      <c r="N6" s="53" t="s">
        <v>89</v>
      </c>
      <c r="O6" s="5"/>
      <c r="P6" s="5" t="s">
        <v>87</v>
      </c>
      <c r="Q6" s="5" t="s">
        <v>121</v>
      </c>
      <c r="R6" s="5" t="s">
        <v>88</v>
      </c>
      <c r="T6" s="41">
        <f>P7/(P7+Q7)</f>
        <v>0.45833333333333331</v>
      </c>
      <c r="U6" s="41">
        <f>1-T6</f>
        <v>0.54166666666666674</v>
      </c>
      <c r="V6" s="41">
        <f>Q8/(Q8+P8)</f>
        <v>0.26315789473684209</v>
      </c>
      <c r="W6" s="41">
        <f>1-V6</f>
        <v>0.73684210526315796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1</v>
      </c>
      <c r="I7">
        <v>1</v>
      </c>
      <c r="J7">
        <v>2</v>
      </c>
      <c r="N7" s="53"/>
      <c r="O7" s="5" t="s">
        <v>87</v>
      </c>
      <c r="P7" s="7">
        <v>11</v>
      </c>
      <c r="Q7" s="7">
        <v>13</v>
      </c>
      <c r="R7" s="7">
        <f>P7+Q7</f>
        <v>24</v>
      </c>
      <c r="T7" t="s">
        <v>116</v>
      </c>
    </row>
    <row r="8" spans="1:23" x14ac:dyDescent="0.3">
      <c r="A8" s="8">
        <f>C3/C5</f>
        <v>0.42666666666666669</v>
      </c>
      <c r="B8" s="8">
        <f>1-A8</f>
        <v>0.57333333333333325</v>
      </c>
      <c r="C8" s="8">
        <f>D4/E4</f>
        <v>0.29508196721311475</v>
      </c>
      <c r="D8" s="8">
        <f>1-C8</f>
        <v>0.70491803278688525</v>
      </c>
      <c r="H8">
        <v>2</v>
      </c>
      <c r="I8">
        <v>2</v>
      </c>
      <c r="J8">
        <v>1</v>
      </c>
      <c r="N8" s="53"/>
      <c r="O8" s="5" t="s">
        <v>121</v>
      </c>
      <c r="P8" s="7">
        <v>14</v>
      </c>
      <c r="Q8" s="7">
        <v>5</v>
      </c>
      <c r="R8" s="7">
        <f>P8+Q8</f>
        <v>19</v>
      </c>
    </row>
    <row r="9" spans="1:23" x14ac:dyDescent="0.3">
      <c r="H9">
        <v>1</v>
      </c>
      <c r="I9">
        <v>1</v>
      </c>
      <c r="J9">
        <v>2</v>
      </c>
      <c r="N9" s="5" t="s">
        <v>88</v>
      </c>
      <c r="O9" s="5"/>
      <c r="P9" s="7">
        <f>P7+P8</f>
        <v>25</v>
      </c>
      <c r="Q9" s="7">
        <f>Q7+Q8</f>
        <v>18</v>
      </c>
      <c r="R9" s="7">
        <f>R7+R8</f>
        <v>43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1</v>
      </c>
      <c r="I10">
        <v>1</v>
      </c>
      <c r="J10">
        <v>2</v>
      </c>
    </row>
    <row r="11" spans="1:23" x14ac:dyDescent="0.3">
      <c r="A11" s="43">
        <f>C3/E3</f>
        <v>0.43835616438356162</v>
      </c>
      <c r="B11" s="43">
        <f>1-A11</f>
        <v>0.56164383561643838</v>
      </c>
      <c r="C11" s="43">
        <f>D4/E4</f>
        <v>0.29508196721311475</v>
      </c>
      <c r="D11" s="43">
        <f>1-C11</f>
        <v>0.70491803278688525</v>
      </c>
      <c r="E11" s="59"/>
      <c r="F11" s="59"/>
      <c r="H11">
        <v>1</v>
      </c>
      <c r="I11">
        <v>2</v>
      </c>
      <c r="J11">
        <v>1</v>
      </c>
      <c r="N11" s="5" t="s">
        <v>114</v>
      </c>
      <c r="O11" s="53" t="s">
        <v>90</v>
      </c>
      <c r="P11" s="53"/>
      <c r="Q11" s="53"/>
      <c r="R11" s="5"/>
      <c r="T11" s="9" t="s">
        <v>83</v>
      </c>
      <c r="U11" s="9" t="s">
        <v>84</v>
      </c>
      <c r="V11" s="9" t="s">
        <v>85</v>
      </c>
      <c r="W11" s="9" t="s">
        <v>86</v>
      </c>
    </row>
    <row r="12" spans="1:23" x14ac:dyDescent="0.3">
      <c r="E12" s="59"/>
      <c r="F12" s="59"/>
      <c r="H12">
        <v>2</v>
      </c>
      <c r="I12">
        <v>1</v>
      </c>
      <c r="J12">
        <v>1</v>
      </c>
      <c r="N12" s="53" t="s">
        <v>89</v>
      </c>
      <c r="O12" s="5"/>
      <c r="P12" s="5" t="s">
        <v>87</v>
      </c>
      <c r="Q12" s="5" t="s">
        <v>121</v>
      </c>
      <c r="R12" s="5" t="s">
        <v>88</v>
      </c>
      <c r="T12" s="41">
        <f>P13/(P13+Q13)</f>
        <v>0.48</v>
      </c>
      <c r="U12" s="41">
        <f>1-T12</f>
        <v>0.52</v>
      </c>
      <c r="V12" s="41">
        <f>Q14/(Q14+P14)</f>
        <v>0.35</v>
      </c>
      <c r="W12" s="41">
        <f>1-V12</f>
        <v>0.65</v>
      </c>
    </row>
    <row r="13" spans="1:23" x14ac:dyDescent="0.3">
      <c r="H13">
        <v>1</v>
      </c>
      <c r="I13">
        <v>1</v>
      </c>
      <c r="J13">
        <v>2</v>
      </c>
      <c r="N13" s="53"/>
      <c r="O13" s="5" t="s">
        <v>87</v>
      </c>
      <c r="P13" s="7">
        <v>12</v>
      </c>
      <c r="Q13" s="7">
        <v>13</v>
      </c>
      <c r="R13" s="7">
        <f>P13+Q13</f>
        <v>25</v>
      </c>
    </row>
    <row r="14" spans="1:23" x14ac:dyDescent="0.3">
      <c r="H14">
        <v>2</v>
      </c>
      <c r="I14">
        <v>1</v>
      </c>
      <c r="J14">
        <v>1</v>
      </c>
      <c r="N14" s="53"/>
      <c r="O14" s="5" t="s">
        <v>121</v>
      </c>
      <c r="P14" s="7">
        <v>13</v>
      </c>
      <c r="Q14" s="7">
        <v>7</v>
      </c>
      <c r="R14" s="7">
        <f>P14+Q14</f>
        <v>20</v>
      </c>
    </row>
    <row r="15" spans="1:23" x14ac:dyDescent="0.3">
      <c r="H15">
        <v>2</v>
      </c>
      <c r="I15">
        <v>2</v>
      </c>
      <c r="J15">
        <v>2</v>
      </c>
      <c r="N15" s="5" t="s">
        <v>88</v>
      </c>
      <c r="O15" s="5"/>
      <c r="P15" s="7">
        <f>P13+P14</f>
        <v>25</v>
      </c>
      <c r="Q15" s="7">
        <f>Q13+Q14</f>
        <v>20</v>
      </c>
      <c r="R15" s="7">
        <f>R13+R14</f>
        <v>45</v>
      </c>
    </row>
    <row r="16" spans="1:23" x14ac:dyDescent="0.3">
      <c r="H16">
        <v>1</v>
      </c>
      <c r="I16">
        <v>2</v>
      </c>
      <c r="J16">
        <v>2</v>
      </c>
    </row>
    <row r="17" spans="1:23" x14ac:dyDescent="0.3">
      <c r="H17">
        <v>2</v>
      </c>
      <c r="I17">
        <v>1</v>
      </c>
      <c r="J17">
        <v>1</v>
      </c>
      <c r="N17" s="5" t="s">
        <v>115</v>
      </c>
      <c r="O17" s="53" t="s">
        <v>90</v>
      </c>
      <c r="P17" s="53"/>
      <c r="Q17" s="53"/>
      <c r="R17" s="5"/>
      <c r="T17" s="9" t="s">
        <v>83</v>
      </c>
      <c r="U17" s="9" t="s">
        <v>84</v>
      </c>
      <c r="V17" s="9" t="s">
        <v>85</v>
      </c>
      <c r="W17" s="9" t="s">
        <v>86</v>
      </c>
    </row>
    <row r="18" spans="1:23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1</v>
      </c>
      <c r="I18">
        <v>1</v>
      </c>
      <c r="J18">
        <v>2</v>
      </c>
      <c r="N18" s="53" t="s">
        <v>89</v>
      </c>
      <c r="O18" s="5"/>
      <c r="P18" s="5" t="s">
        <v>87</v>
      </c>
      <c r="Q18" s="5" t="s">
        <v>121</v>
      </c>
      <c r="R18" s="5" t="s">
        <v>88</v>
      </c>
      <c r="T18" s="41">
        <f>P19/(P19+Q19)</f>
        <v>0.375</v>
      </c>
      <c r="U18" s="41">
        <f>1-T18</f>
        <v>0.625</v>
      </c>
      <c r="V18" s="41">
        <f>Q20/(Q20+P20)</f>
        <v>0.27272727272727271</v>
      </c>
      <c r="W18" s="41">
        <f>1-V18</f>
        <v>0.72727272727272729</v>
      </c>
    </row>
    <row r="19" spans="1:23" x14ac:dyDescent="0.3">
      <c r="A19" s="54"/>
      <c r="B19" s="54"/>
      <c r="C19" s="69"/>
      <c r="D19" s="54"/>
      <c r="E19" s="54"/>
      <c r="F19" s="54"/>
      <c r="H19">
        <v>2</v>
      </c>
      <c r="I19">
        <v>2</v>
      </c>
      <c r="J19">
        <v>1</v>
      </c>
      <c r="N19" s="53"/>
      <c r="O19" s="5" t="s">
        <v>87</v>
      </c>
      <c r="P19" s="7">
        <v>9</v>
      </c>
      <c r="Q19" s="7">
        <v>15</v>
      </c>
      <c r="R19" s="7">
        <f>P19+Q19</f>
        <v>24</v>
      </c>
    </row>
    <row r="20" spans="1:23" x14ac:dyDescent="0.3">
      <c r="A20" s="54"/>
      <c r="B20" s="54"/>
      <c r="C20" s="69"/>
      <c r="D20" s="54"/>
      <c r="E20" s="54"/>
      <c r="F20" s="54"/>
      <c r="H20">
        <v>1</v>
      </c>
      <c r="I20">
        <v>1</v>
      </c>
      <c r="J20">
        <v>1</v>
      </c>
      <c r="N20" s="53"/>
      <c r="O20" s="5" t="s">
        <v>121</v>
      </c>
      <c r="P20" s="7">
        <v>16</v>
      </c>
      <c r="Q20" s="7">
        <v>6</v>
      </c>
      <c r="R20" s="7">
        <f>P20+Q20</f>
        <v>22</v>
      </c>
    </row>
    <row r="21" spans="1:23" x14ac:dyDescent="0.3">
      <c r="A21" s="54"/>
      <c r="B21" s="54"/>
      <c r="C21" s="70"/>
      <c r="D21" s="54"/>
      <c r="E21" s="54"/>
      <c r="F21" s="54"/>
      <c r="H21">
        <v>1</v>
      </c>
      <c r="I21">
        <v>1</v>
      </c>
      <c r="J21">
        <v>2</v>
      </c>
      <c r="N21" s="5" t="s">
        <v>88</v>
      </c>
      <c r="O21" s="5"/>
      <c r="P21" s="7">
        <f>P19+P20</f>
        <v>25</v>
      </c>
      <c r="Q21" s="7">
        <f>Q19+Q20</f>
        <v>21</v>
      </c>
      <c r="R21" s="7">
        <f>R19+R20</f>
        <v>46</v>
      </c>
    </row>
    <row r="22" spans="1:23" x14ac:dyDescent="0.3">
      <c r="A22" s="37">
        <v>1</v>
      </c>
      <c r="B22" s="37">
        <v>54</v>
      </c>
      <c r="C22" s="40">
        <f>($C$4*$D$11*$A$11^0)+($D$3*$B$11*$C$11^0)</f>
        <v>53.338872670110035</v>
      </c>
      <c r="D22" s="37">
        <v>55.631999999999998</v>
      </c>
      <c r="E22" s="5" t="s">
        <v>125</v>
      </c>
      <c r="F22" s="5" t="s">
        <v>125</v>
      </c>
      <c r="H22">
        <v>1</v>
      </c>
      <c r="I22">
        <v>1</v>
      </c>
      <c r="J22">
        <v>1</v>
      </c>
    </row>
    <row r="23" spans="1:23" x14ac:dyDescent="0.3">
      <c r="A23" s="37">
        <v>2</v>
      </c>
      <c r="B23" s="37">
        <v>18</v>
      </c>
      <c r="C23" s="40">
        <f>($C$4*$D$11*$A$11^1)+($D$3*$B$11*$C$11^1)</f>
        <v>20.082191780821915</v>
      </c>
      <c r="D23" s="37">
        <v>19.623000000000001</v>
      </c>
      <c r="E23" s="5" t="s">
        <v>125</v>
      </c>
      <c r="F23" s="5" t="s">
        <v>125</v>
      </c>
      <c r="H23">
        <v>1</v>
      </c>
      <c r="I23">
        <v>2</v>
      </c>
      <c r="J23">
        <v>1</v>
      </c>
    </row>
    <row r="24" spans="1:23" x14ac:dyDescent="0.3">
      <c r="A24" s="37">
        <v>3</v>
      </c>
      <c r="B24" s="37">
        <v>6</v>
      </c>
      <c r="C24" s="40">
        <f>($C$4*$D$11*$A$11^2)+($D$3*$B$11*$C$11^2)</f>
        <v>7.8296087352753201</v>
      </c>
      <c r="D24" s="37">
        <v>7.0460000000000003</v>
      </c>
      <c r="E24" s="37">
        <v>5</v>
      </c>
      <c r="F24" s="5">
        <v>1</v>
      </c>
      <c r="H24">
        <v>2</v>
      </c>
      <c r="I24">
        <v>2</v>
      </c>
      <c r="J24">
        <v>2</v>
      </c>
    </row>
    <row r="25" spans="1:23" x14ac:dyDescent="0.3">
      <c r="A25" s="37">
        <v>4</v>
      </c>
      <c r="B25" s="37">
        <v>5</v>
      </c>
      <c r="C25" s="40">
        <f>($C$4*$D$11*$A$11^3)+($D$3*$B$11*$C$11^3)</f>
        <v>3.1448820264216861</v>
      </c>
      <c r="D25" s="37">
        <v>2.5009999999999999</v>
      </c>
      <c r="E25" s="5">
        <v>3</v>
      </c>
      <c r="F25" s="5">
        <v>2</v>
      </c>
      <c r="H25">
        <v>1</v>
      </c>
      <c r="I25">
        <v>1</v>
      </c>
      <c r="J25">
        <v>2</v>
      </c>
    </row>
    <row r="26" spans="1:23" x14ac:dyDescent="0.3">
      <c r="A26" s="37">
        <v>5</v>
      </c>
      <c r="B26" s="37">
        <v>0</v>
      </c>
      <c r="C26" s="40">
        <f>($C$4*$D$11*$A$11^4)+($D$3*$B$11*$C$11^4)</f>
        <v>1.2938086833089253</v>
      </c>
      <c r="D26" s="37">
        <v>0.92400000000000004</v>
      </c>
      <c r="E26" s="5">
        <v>0</v>
      </c>
      <c r="F26" s="5">
        <v>0</v>
      </c>
      <c r="H26">
        <v>2</v>
      </c>
      <c r="I26">
        <v>2</v>
      </c>
      <c r="J26">
        <v>1</v>
      </c>
    </row>
    <row r="27" spans="1:23" x14ac:dyDescent="0.3">
      <c r="A27" s="37">
        <v>6</v>
      </c>
      <c r="B27" s="37">
        <v>1</v>
      </c>
      <c r="C27" s="40">
        <f>($C$4*$D$11*$A$11^5)+($D$3*$B$11*$C$11^5)</f>
        <v>0.54213499044869928</v>
      </c>
      <c r="D27" s="37">
        <v>0.317</v>
      </c>
      <c r="E27" s="5">
        <v>1</v>
      </c>
      <c r="F27" s="5">
        <v>0</v>
      </c>
      <c r="H27">
        <v>1</v>
      </c>
      <c r="I27">
        <v>1</v>
      </c>
      <c r="J27">
        <v>2</v>
      </c>
    </row>
    <row r="28" spans="1:23" x14ac:dyDescent="0.3">
      <c r="A28" s="37">
        <v>7</v>
      </c>
      <c r="B28" s="37">
        <v>0</v>
      </c>
      <c r="C28" s="40">
        <f>($C$4*$D$11*$A$11^6)+($D$3*$B$11*$C$11^6)</f>
        <v>0.23026702834482621</v>
      </c>
      <c r="D28" s="37">
        <v>0.13900000000000001</v>
      </c>
      <c r="E28" s="5">
        <v>0</v>
      </c>
      <c r="F28" s="5">
        <v>0</v>
      </c>
      <c r="H28">
        <v>2</v>
      </c>
      <c r="I28">
        <v>2</v>
      </c>
      <c r="J28">
        <v>1</v>
      </c>
    </row>
    <row r="29" spans="1:23" x14ac:dyDescent="0.3">
      <c r="A29" s="37">
        <v>8</v>
      </c>
      <c r="B29" s="37">
        <v>0</v>
      </c>
      <c r="C29" s="40">
        <f>($C$4*$D$11*$A$11^7)+($D$3*$B$11*$C$11^7)</f>
        <v>9.8760916253256587E-2</v>
      </c>
      <c r="D29" s="37">
        <v>3.5999999999999997E-2</v>
      </c>
      <c r="E29" s="5">
        <v>0</v>
      </c>
      <c r="F29" s="5">
        <v>0</v>
      </c>
      <c r="H29">
        <v>1</v>
      </c>
      <c r="I29">
        <v>2</v>
      </c>
      <c r="J29">
        <v>2</v>
      </c>
    </row>
    <row r="30" spans="1:23" x14ac:dyDescent="0.3">
      <c r="A30" s="37" t="s">
        <v>103</v>
      </c>
      <c r="B30" s="37">
        <v>0</v>
      </c>
      <c r="C30" s="40">
        <f>($C$4*$D$11*$A$11^8)+($D$3*$B$11*$C$11^8)</f>
        <v>4.2649751663264339E-2</v>
      </c>
      <c r="D30" s="37">
        <v>2.1000000000000001E-2</v>
      </c>
      <c r="E30" s="5">
        <v>0</v>
      </c>
      <c r="F30" s="5">
        <v>0</v>
      </c>
      <c r="H30">
        <v>2</v>
      </c>
      <c r="I30">
        <v>1</v>
      </c>
      <c r="J30">
        <v>1</v>
      </c>
    </row>
    <row r="31" spans="1:23" x14ac:dyDescent="0.3">
      <c r="H31">
        <v>2</v>
      </c>
      <c r="I31">
        <v>2</v>
      </c>
      <c r="J31">
        <v>2</v>
      </c>
    </row>
    <row r="32" spans="1:23" ht="14.4" customHeight="1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2</v>
      </c>
      <c r="I32">
        <v>2</v>
      </c>
      <c r="J32">
        <v>1</v>
      </c>
    </row>
    <row r="33" spans="1:10" x14ac:dyDescent="0.3">
      <c r="A33" s="53"/>
      <c r="B33" s="54"/>
      <c r="C33" s="54"/>
      <c r="D33" s="54"/>
      <c r="E33" s="54"/>
      <c r="F33" s="53"/>
      <c r="G33" s="53"/>
      <c r="H33">
        <v>1</v>
      </c>
      <c r="I33">
        <v>2</v>
      </c>
      <c r="J33">
        <v>2</v>
      </c>
    </row>
    <row r="34" spans="1:10" x14ac:dyDescent="0.3">
      <c r="A34" s="5" t="s">
        <v>87</v>
      </c>
      <c r="B34" s="64">
        <f>E24+E25+E26+E27+E28+E29+E30</f>
        <v>9</v>
      </c>
      <c r="C34" s="65"/>
      <c r="D34" s="66">
        <f>E24*1+E25*2+E26*3+E27*4+E28*5+E29*6+E30*7</f>
        <v>15</v>
      </c>
      <c r="E34" s="67"/>
      <c r="F34" s="48">
        <f>B34/D34</f>
        <v>0.6</v>
      </c>
      <c r="G34" s="49">
        <f>F34</f>
        <v>0.6</v>
      </c>
      <c r="H34">
        <v>1</v>
      </c>
      <c r="I34">
        <v>2</v>
      </c>
      <c r="J34">
        <v>1</v>
      </c>
    </row>
    <row r="35" spans="1:10" x14ac:dyDescent="0.3">
      <c r="A35" s="5" t="s">
        <v>121</v>
      </c>
      <c r="B35" s="64">
        <f>F24+F25+F26+F27+F28+F29+F30</f>
        <v>3</v>
      </c>
      <c r="C35" s="65"/>
      <c r="D35" s="66">
        <f>F24*1+F25*2+F26*3+F27*4+F28*5+F29*6+F30*7</f>
        <v>5</v>
      </c>
      <c r="E35" s="67"/>
      <c r="F35" s="48">
        <f>B35/D35</f>
        <v>0.6</v>
      </c>
      <c r="G35" s="49">
        <f>F35</f>
        <v>0.6</v>
      </c>
      <c r="H35">
        <v>1</v>
      </c>
      <c r="I35">
        <v>1</v>
      </c>
      <c r="J35">
        <v>1</v>
      </c>
    </row>
    <row r="36" spans="1:10" x14ac:dyDescent="0.3">
      <c r="H36">
        <v>2</v>
      </c>
      <c r="I36">
        <v>1</v>
      </c>
      <c r="J36">
        <v>1</v>
      </c>
    </row>
    <row r="37" spans="1:10" x14ac:dyDescent="0.3">
      <c r="H37">
        <v>1</v>
      </c>
      <c r="I37">
        <v>1</v>
      </c>
      <c r="J37">
        <v>1</v>
      </c>
    </row>
    <row r="38" spans="1:10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1</v>
      </c>
      <c r="I38">
        <v>1</v>
      </c>
      <c r="J38">
        <v>2</v>
      </c>
    </row>
    <row r="39" spans="1:10" x14ac:dyDescent="0.3">
      <c r="A39" s="80" t="s">
        <v>87</v>
      </c>
      <c r="B39" s="83">
        <v>9</v>
      </c>
      <c r="C39" s="83"/>
      <c r="D39" s="92">
        <v>32</v>
      </c>
      <c r="E39" s="92"/>
      <c r="F39" s="82">
        <f>SUM(B39+D39)</f>
        <v>41</v>
      </c>
      <c r="H39">
        <v>1</v>
      </c>
      <c r="I39">
        <v>1</v>
      </c>
      <c r="J39">
        <v>1</v>
      </c>
    </row>
    <row r="40" spans="1:10" x14ac:dyDescent="0.3">
      <c r="A40" s="80" t="s">
        <v>121</v>
      </c>
      <c r="B40" s="83">
        <v>3</v>
      </c>
      <c r="C40" s="83"/>
      <c r="D40" s="92">
        <v>18</v>
      </c>
      <c r="E40" s="92"/>
      <c r="F40" s="82">
        <f>SUM(B40+D40)</f>
        <v>21</v>
      </c>
      <c r="H40">
        <v>1</v>
      </c>
      <c r="I40">
        <v>1</v>
      </c>
      <c r="J40">
        <v>2</v>
      </c>
    </row>
    <row r="41" spans="1:10" x14ac:dyDescent="0.3">
      <c r="A41" s="85"/>
      <c r="B41" s="86">
        <f>SUM(B39:B40)</f>
        <v>12</v>
      </c>
      <c r="C41" s="86"/>
      <c r="D41" s="87">
        <f>SUM(D39:D40)</f>
        <v>50</v>
      </c>
      <c r="E41" s="87"/>
      <c r="F41" s="82">
        <f>SUM(F39:F40)</f>
        <v>62</v>
      </c>
      <c r="H41">
        <v>2</v>
      </c>
      <c r="I41">
        <v>2</v>
      </c>
      <c r="J41">
        <v>1</v>
      </c>
    </row>
    <row r="42" spans="1:10" x14ac:dyDescent="0.3">
      <c r="A42" s="40"/>
      <c r="B42" s="84" t="s">
        <v>134</v>
      </c>
      <c r="C42" s="84"/>
      <c r="D42" s="84" t="s">
        <v>132</v>
      </c>
      <c r="E42" s="84"/>
      <c r="F42" s="73"/>
      <c r="H42">
        <v>2</v>
      </c>
      <c r="I42">
        <v>1</v>
      </c>
      <c r="J42">
        <v>2</v>
      </c>
    </row>
    <row r="43" spans="1:10" x14ac:dyDescent="0.3">
      <c r="A43" s="82" t="s">
        <v>87</v>
      </c>
      <c r="B43" s="81">
        <f>B41*F39/F41</f>
        <v>7.935483870967742</v>
      </c>
      <c r="C43" s="81"/>
      <c r="D43" s="81">
        <f>D41*F39/F41</f>
        <v>33.064516129032256</v>
      </c>
      <c r="E43" s="81"/>
      <c r="F43" s="73"/>
      <c r="H43">
        <v>1</v>
      </c>
      <c r="I43">
        <v>2</v>
      </c>
      <c r="J43">
        <v>1</v>
      </c>
    </row>
    <row r="44" spans="1:10" x14ac:dyDescent="0.3">
      <c r="A44" s="82" t="s">
        <v>121</v>
      </c>
      <c r="B44" s="81">
        <f>B41*F40/F41</f>
        <v>4.064516129032258</v>
      </c>
      <c r="C44" s="81"/>
      <c r="D44" s="81">
        <f>D41*F40/F41</f>
        <v>16.93548387096774</v>
      </c>
      <c r="E44" s="81"/>
      <c r="F44" s="73"/>
      <c r="H44">
        <v>2</v>
      </c>
      <c r="I44">
        <v>1</v>
      </c>
      <c r="J44">
        <v>1</v>
      </c>
    </row>
    <row r="45" spans="1:10" x14ac:dyDescent="0.3">
      <c r="A45" s="88"/>
      <c r="B45" s="88"/>
      <c r="C45" s="88"/>
      <c r="D45" s="88"/>
      <c r="E45" s="88"/>
      <c r="F45" s="73"/>
      <c r="H45">
        <v>1</v>
      </c>
      <c r="I45">
        <v>2</v>
      </c>
      <c r="J45">
        <v>1</v>
      </c>
    </row>
    <row r="46" spans="1:10" x14ac:dyDescent="0.3">
      <c r="A46" s="88" t="s">
        <v>135</v>
      </c>
      <c r="B46" s="89">
        <f>CHITEST(B39:E40,B43:E44)</f>
        <v>0.91385733230281563</v>
      </c>
      <c r="C46" s="88"/>
      <c r="D46" s="88"/>
      <c r="E46" s="88"/>
      <c r="F46" s="73"/>
      <c r="H46">
        <v>2</v>
      </c>
      <c r="I46">
        <v>1</v>
      </c>
      <c r="J46">
        <v>2</v>
      </c>
    </row>
    <row r="47" spans="1:10" x14ac:dyDescent="0.3">
      <c r="H47">
        <v>2</v>
      </c>
      <c r="I47">
        <v>1</v>
      </c>
      <c r="J47">
        <v>2</v>
      </c>
    </row>
    <row r="48" spans="1:10" x14ac:dyDescent="0.3">
      <c r="H48">
        <v>1</v>
      </c>
      <c r="I48">
        <v>2</v>
      </c>
      <c r="J48">
        <v>2</v>
      </c>
    </row>
    <row r="49" spans="9:10" x14ac:dyDescent="0.3">
      <c r="I49">
        <v>2</v>
      </c>
      <c r="J49">
        <v>2</v>
      </c>
    </row>
    <row r="50" spans="9:10" x14ac:dyDescent="0.3">
      <c r="I50">
        <v>1</v>
      </c>
      <c r="J50">
        <v>1</v>
      </c>
    </row>
    <row r="51" spans="9:10" x14ac:dyDescent="0.3">
      <c r="J51">
        <v>1</v>
      </c>
    </row>
  </sheetData>
  <mergeCells count="38">
    <mergeCell ref="B44:C44"/>
    <mergeCell ref="D44:E44"/>
    <mergeCell ref="B41:C41"/>
    <mergeCell ref="D41:E41"/>
    <mergeCell ref="B42:C42"/>
    <mergeCell ref="D42:E42"/>
    <mergeCell ref="B43:C43"/>
    <mergeCell ref="D43:E43"/>
    <mergeCell ref="B38:C38"/>
    <mergeCell ref="D38:E38"/>
    <mergeCell ref="B39:C39"/>
    <mergeCell ref="D39:E39"/>
    <mergeCell ref="B40:C40"/>
    <mergeCell ref="D40:E40"/>
    <mergeCell ref="B34:C34"/>
    <mergeCell ref="D34:E34"/>
    <mergeCell ref="B35:C35"/>
    <mergeCell ref="D35:E35"/>
    <mergeCell ref="A32:A33"/>
    <mergeCell ref="B32:C33"/>
    <mergeCell ref="D32:E33"/>
    <mergeCell ref="F32:F33"/>
    <mergeCell ref="G32:G33"/>
    <mergeCell ref="N12:N14"/>
    <mergeCell ref="O17:Q17"/>
    <mergeCell ref="N18:N20"/>
    <mergeCell ref="E10:F12"/>
    <mergeCell ref="F18:F21"/>
    <mergeCell ref="A18:A21"/>
    <mergeCell ref="B18:B21"/>
    <mergeCell ref="C18:C21"/>
    <mergeCell ref="D18:D21"/>
    <mergeCell ref="E18:E21"/>
    <mergeCell ref="B1:D1"/>
    <mergeCell ref="A2:A4"/>
    <mergeCell ref="O5:Q5"/>
    <mergeCell ref="N6:N8"/>
    <mergeCell ref="O11:Q11"/>
  </mergeCells>
  <conditionalFormatting sqref="H5:J51">
    <cfRule type="cellIs" dxfId="132" priority="5" operator="equal">
      <formula>1</formula>
    </cfRule>
    <cfRule type="cellIs" dxfId="131" priority="6" operator="equal">
      <formula>2</formula>
    </cfRule>
  </conditionalFormatting>
  <conditionalFormatting sqref="A43:B44 A45:E46 D42:D44 B42">
    <cfRule type="cellIs" dxfId="55" priority="1" operator="equal">
      <formula>1</formula>
    </cfRule>
    <cfRule type="cellIs" dxfId="54" priority="2" operator="equal">
      <formula>2</formula>
    </cfRule>
    <cfRule type="cellIs" dxfId="53" priority="3" operator="equal">
      <formula>1</formula>
    </cfRule>
    <cfRule type="cellIs" dxfId="52" priority="4" operator="equal">
      <formula>2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10F8-F7C0-4AFC-9D8A-25BE2886D272}">
  <dimension ref="A1:W49"/>
  <sheetViews>
    <sheetView topLeftCell="A22" workbookViewId="0">
      <selection activeCell="D41" sqref="D41:E41"/>
    </sheetView>
  </sheetViews>
  <sheetFormatPr defaultRowHeight="14.4" x14ac:dyDescent="0.3"/>
  <cols>
    <col min="3" max="3" width="10.109375" customWidth="1"/>
  </cols>
  <sheetData>
    <row r="1" spans="1:23" x14ac:dyDescent="0.3">
      <c r="A1" s="5"/>
      <c r="B1" s="53" t="s">
        <v>90</v>
      </c>
      <c r="C1" s="53"/>
      <c r="D1" s="53"/>
      <c r="E1" s="5"/>
      <c r="H1">
        <v>2</v>
      </c>
      <c r="I1">
        <v>1</v>
      </c>
      <c r="J1">
        <v>2</v>
      </c>
      <c r="K1">
        <v>1</v>
      </c>
      <c r="L1">
        <v>1</v>
      </c>
      <c r="N1" s="5" t="s">
        <v>113</v>
      </c>
      <c r="O1" s="53" t="s">
        <v>90</v>
      </c>
      <c r="P1" s="53"/>
      <c r="Q1" s="53"/>
      <c r="R1" s="5"/>
      <c r="T1" s="9" t="s">
        <v>83</v>
      </c>
      <c r="U1" s="9" t="s">
        <v>84</v>
      </c>
      <c r="V1" s="9" t="s">
        <v>85</v>
      </c>
      <c r="W1" s="9" t="s">
        <v>86</v>
      </c>
    </row>
    <row r="2" spans="1:23" x14ac:dyDescent="0.3">
      <c r="A2" s="53" t="s">
        <v>89</v>
      </c>
      <c r="B2" s="5"/>
      <c r="C2" s="5" t="s">
        <v>87</v>
      </c>
      <c r="D2" s="5" t="s">
        <v>56</v>
      </c>
      <c r="E2" s="5" t="s">
        <v>88</v>
      </c>
      <c r="H2">
        <v>2</v>
      </c>
      <c r="I2">
        <v>2</v>
      </c>
      <c r="J2">
        <v>1</v>
      </c>
      <c r="K2">
        <v>1</v>
      </c>
      <c r="L2">
        <v>1</v>
      </c>
      <c r="N2" s="53" t="s">
        <v>89</v>
      </c>
      <c r="O2" s="5"/>
      <c r="P2" s="5" t="s">
        <v>87</v>
      </c>
      <c r="Q2" s="5" t="s">
        <v>56</v>
      </c>
      <c r="R2" s="5" t="s">
        <v>88</v>
      </c>
      <c r="T2" s="41">
        <f>P3/(P3+Q3)</f>
        <v>0.1</v>
      </c>
      <c r="U2" s="41">
        <f>1-T2</f>
        <v>0.9</v>
      </c>
      <c r="V2" s="41">
        <f>Q4/(Q4+P4)</f>
        <v>0.28000000000000003</v>
      </c>
      <c r="W2" s="41">
        <f>1-V2</f>
        <v>0.72</v>
      </c>
    </row>
    <row r="3" spans="1:23" x14ac:dyDescent="0.3">
      <c r="A3" s="53"/>
      <c r="B3" s="5" t="s">
        <v>87</v>
      </c>
      <c r="C3" s="7">
        <v>27</v>
      </c>
      <c r="D3" s="7">
        <v>74</v>
      </c>
      <c r="E3" s="7">
        <f>C3+D3</f>
        <v>101</v>
      </c>
      <c r="H3">
        <v>1</v>
      </c>
      <c r="I3">
        <v>2</v>
      </c>
      <c r="J3">
        <v>2</v>
      </c>
      <c r="K3">
        <v>2</v>
      </c>
      <c r="L3">
        <v>2</v>
      </c>
      <c r="N3" s="53"/>
      <c r="O3" s="5" t="s">
        <v>87</v>
      </c>
      <c r="P3" s="7">
        <v>2</v>
      </c>
      <c r="Q3" s="7">
        <v>18</v>
      </c>
      <c r="R3" s="7">
        <f>P3+Q3</f>
        <v>20</v>
      </c>
      <c r="T3" t="s">
        <v>116</v>
      </c>
    </row>
    <row r="4" spans="1:23" x14ac:dyDescent="0.3">
      <c r="A4" s="53"/>
      <c r="B4" s="5" t="s">
        <v>56</v>
      </c>
      <c r="C4" s="7">
        <v>73</v>
      </c>
      <c r="D4" s="7">
        <v>36</v>
      </c>
      <c r="E4" s="7">
        <f>C4+D4</f>
        <v>109</v>
      </c>
      <c r="H4">
        <v>2</v>
      </c>
      <c r="I4">
        <v>1</v>
      </c>
      <c r="J4">
        <v>2</v>
      </c>
      <c r="K4">
        <v>1</v>
      </c>
      <c r="L4">
        <v>1</v>
      </c>
      <c r="N4" s="53"/>
      <c r="O4" s="5" t="s">
        <v>56</v>
      </c>
      <c r="P4" s="7">
        <v>18</v>
      </c>
      <c r="Q4" s="7">
        <v>7</v>
      </c>
      <c r="R4" s="7">
        <f>P4+Q4</f>
        <v>25</v>
      </c>
    </row>
    <row r="5" spans="1:23" x14ac:dyDescent="0.3">
      <c r="A5" s="5" t="s">
        <v>88</v>
      </c>
      <c r="B5" s="5"/>
      <c r="C5" s="7">
        <f>C3+C4</f>
        <v>100</v>
      </c>
      <c r="D5" s="7">
        <f>D3+D4</f>
        <v>110</v>
      </c>
      <c r="E5" s="7">
        <f>E3+E4</f>
        <v>210</v>
      </c>
      <c r="H5">
        <v>1</v>
      </c>
      <c r="I5">
        <v>2</v>
      </c>
      <c r="J5">
        <v>1</v>
      </c>
      <c r="K5">
        <v>2</v>
      </c>
      <c r="L5">
        <v>2</v>
      </c>
      <c r="N5" s="5" t="s">
        <v>88</v>
      </c>
      <c r="O5" s="5"/>
      <c r="P5" s="7">
        <f>P3+P4</f>
        <v>20</v>
      </c>
      <c r="Q5" s="7">
        <f>Q3+Q4</f>
        <v>25</v>
      </c>
      <c r="R5" s="7">
        <f>R3+R4</f>
        <v>45</v>
      </c>
    </row>
    <row r="6" spans="1:23" x14ac:dyDescent="0.3">
      <c r="H6">
        <v>2</v>
      </c>
      <c r="I6">
        <v>2</v>
      </c>
      <c r="J6">
        <v>1</v>
      </c>
      <c r="K6">
        <v>2</v>
      </c>
      <c r="L6">
        <v>1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1</v>
      </c>
      <c r="I7">
        <v>1</v>
      </c>
      <c r="J7">
        <v>2</v>
      </c>
      <c r="K7">
        <v>1</v>
      </c>
      <c r="L7">
        <v>2</v>
      </c>
      <c r="N7" s="5" t="s">
        <v>114</v>
      </c>
      <c r="O7" s="53" t="s">
        <v>90</v>
      </c>
      <c r="P7" s="53"/>
      <c r="Q7" s="53"/>
      <c r="R7" s="5"/>
      <c r="T7" s="9" t="s">
        <v>83</v>
      </c>
      <c r="U7" s="9" t="s">
        <v>84</v>
      </c>
      <c r="V7" s="9" t="s">
        <v>85</v>
      </c>
      <c r="W7" s="9" t="s">
        <v>86</v>
      </c>
    </row>
    <row r="8" spans="1:23" x14ac:dyDescent="0.3">
      <c r="A8" s="8">
        <f>C3/C5</f>
        <v>0.27</v>
      </c>
      <c r="B8" s="8">
        <f>1-A8</f>
        <v>0.73</v>
      </c>
      <c r="C8" s="8">
        <f>D4/E4</f>
        <v>0.33027522935779818</v>
      </c>
      <c r="D8" s="8">
        <f>1-C8</f>
        <v>0.66972477064220182</v>
      </c>
      <c r="H8">
        <v>2</v>
      </c>
      <c r="I8">
        <v>1</v>
      </c>
      <c r="J8">
        <v>1</v>
      </c>
      <c r="K8">
        <v>1</v>
      </c>
      <c r="L8">
        <v>1</v>
      </c>
      <c r="N8" s="53" t="s">
        <v>89</v>
      </c>
      <c r="O8" s="5"/>
      <c r="P8" s="5" t="s">
        <v>87</v>
      </c>
      <c r="Q8" s="5" t="s">
        <v>56</v>
      </c>
      <c r="R8" s="5" t="s">
        <v>88</v>
      </c>
      <c r="T8" s="41">
        <f>P9/(P9+Q9)</f>
        <v>0.36</v>
      </c>
      <c r="U8" s="41">
        <f>1-T8</f>
        <v>0.64</v>
      </c>
      <c r="V8" s="41">
        <f>Q10/(Q10+P10)</f>
        <v>0.27272727272727271</v>
      </c>
      <c r="W8" s="41">
        <f>1-V8</f>
        <v>0.72727272727272729</v>
      </c>
    </row>
    <row r="9" spans="1:23" x14ac:dyDescent="0.3">
      <c r="H9">
        <v>1</v>
      </c>
      <c r="I9">
        <v>1</v>
      </c>
      <c r="J9">
        <v>2</v>
      </c>
      <c r="K9">
        <v>2</v>
      </c>
      <c r="L9">
        <v>1</v>
      </c>
      <c r="N9" s="53"/>
      <c r="O9" s="5" t="s">
        <v>87</v>
      </c>
      <c r="P9" s="7">
        <v>9</v>
      </c>
      <c r="Q9" s="7">
        <v>16</v>
      </c>
      <c r="R9" s="7">
        <f>P9+Q9</f>
        <v>25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2</v>
      </c>
      <c r="I10">
        <v>2</v>
      </c>
      <c r="J10">
        <v>1</v>
      </c>
      <c r="K10">
        <v>1</v>
      </c>
      <c r="L10">
        <v>2</v>
      </c>
      <c r="N10" s="53"/>
      <c r="O10" s="5" t="s">
        <v>56</v>
      </c>
      <c r="P10" s="7">
        <v>16</v>
      </c>
      <c r="Q10" s="7">
        <v>6</v>
      </c>
      <c r="R10" s="7">
        <f>P10+Q10</f>
        <v>22</v>
      </c>
    </row>
    <row r="11" spans="1:23" x14ac:dyDescent="0.3">
      <c r="A11" s="43">
        <f>C3/E3</f>
        <v>0.26732673267326734</v>
      </c>
      <c r="B11" s="43">
        <f>1-A11</f>
        <v>0.73267326732673266</v>
      </c>
      <c r="C11" s="43">
        <f>D4/E4</f>
        <v>0.33027522935779818</v>
      </c>
      <c r="D11" s="43">
        <f>1-C11</f>
        <v>0.66972477064220182</v>
      </c>
      <c r="E11" s="59"/>
      <c r="F11" s="59"/>
      <c r="H11">
        <v>1</v>
      </c>
      <c r="I11">
        <v>1</v>
      </c>
      <c r="J11">
        <v>2</v>
      </c>
      <c r="K11">
        <v>1</v>
      </c>
      <c r="L11">
        <v>1</v>
      </c>
      <c r="N11" s="5" t="s">
        <v>88</v>
      </c>
      <c r="O11" s="5"/>
      <c r="P11" s="7">
        <f>P9+P10</f>
        <v>25</v>
      </c>
      <c r="Q11" s="7">
        <f>Q9+Q10</f>
        <v>22</v>
      </c>
      <c r="R11" s="7">
        <f>R9+R10</f>
        <v>47</v>
      </c>
    </row>
    <row r="12" spans="1:23" x14ac:dyDescent="0.3">
      <c r="E12" s="59"/>
      <c r="F12" s="59"/>
      <c r="H12">
        <v>2</v>
      </c>
      <c r="I12">
        <v>2</v>
      </c>
      <c r="J12">
        <v>1</v>
      </c>
      <c r="K12">
        <v>2</v>
      </c>
      <c r="L12">
        <v>2</v>
      </c>
    </row>
    <row r="13" spans="1:23" x14ac:dyDescent="0.3">
      <c r="H13">
        <v>1</v>
      </c>
      <c r="I13">
        <v>1</v>
      </c>
      <c r="J13">
        <v>2</v>
      </c>
      <c r="K13">
        <v>1</v>
      </c>
      <c r="L13">
        <v>1</v>
      </c>
      <c r="N13" s="5" t="s">
        <v>115</v>
      </c>
      <c r="O13" s="53" t="s">
        <v>90</v>
      </c>
      <c r="P13" s="53"/>
      <c r="Q13" s="53"/>
      <c r="R13" s="5"/>
      <c r="T13" s="9" t="s">
        <v>83</v>
      </c>
      <c r="U13" s="9" t="s">
        <v>84</v>
      </c>
      <c r="V13" s="9" t="s">
        <v>85</v>
      </c>
      <c r="W13" s="9" t="s">
        <v>86</v>
      </c>
    </row>
    <row r="14" spans="1:23" x14ac:dyDescent="0.3">
      <c r="H14">
        <v>2</v>
      </c>
      <c r="I14">
        <v>2</v>
      </c>
      <c r="J14">
        <v>2</v>
      </c>
      <c r="K14">
        <v>1</v>
      </c>
      <c r="L14">
        <v>2</v>
      </c>
      <c r="N14" s="53" t="s">
        <v>89</v>
      </c>
      <c r="O14" s="5"/>
      <c r="P14" s="5" t="s">
        <v>87</v>
      </c>
      <c r="Q14" s="5" t="s">
        <v>56</v>
      </c>
      <c r="R14" s="5" t="s">
        <v>88</v>
      </c>
      <c r="T14" s="41">
        <f>P15/(P15+Q15)</f>
        <v>0.1111111111111111</v>
      </c>
      <c r="U14" s="41">
        <f>1-T14</f>
        <v>0.88888888888888884</v>
      </c>
      <c r="V14" s="41">
        <f>Q16/(Q16+P16)</f>
        <v>0.36</v>
      </c>
      <c r="W14" s="41">
        <f>1-V14</f>
        <v>0.64</v>
      </c>
    </row>
    <row r="15" spans="1:23" x14ac:dyDescent="0.3">
      <c r="H15">
        <v>1</v>
      </c>
      <c r="I15">
        <v>1</v>
      </c>
      <c r="J15">
        <v>1</v>
      </c>
      <c r="K15">
        <v>1</v>
      </c>
      <c r="L15">
        <v>2</v>
      </c>
      <c r="N15" s="53"/>
      <c r="O15" s="5" t="s">
        <v>87</v>
      </c>
      <c r="P15" s="7">
        <v>2</v>
      </c>
      <c r="Q15" s="7">
        <v>16</v>
      </c>
      <c r="R15" s="7">
        <f>P15+Q15</f>
        <v>18</v>
      </c>
    </row>
    <row r="16" spans="1:23" x14ac:dyDescent="0.3">
      <c r="H16">
        <v>1</v>
      </c>
      <c r="I16">
        <v>2</v>
      </c>
      <c r="J16">
        <v>2</v>
      </c>
      <c r="K16">
        <v>2</v>
      </c>
      <c r="L16">
        <v>2</v>
      </c>
      <c r="N16" s="53"/>
      <c r="O16" s="5" t="s">
        <v>56</v>
      </c>
      <c r="P16" s="7">
        <v>16</v>
      </c>
      <c r="Q16" s="7">
        <v>9</v>
      </c>
      <c r="R16" s="7">
        <f>P16+Q16</f>
        <v>25</v>
      </c>
    </row>
    <row r="17" spans="1:23" x14ac:dyDescent="0.3">
      <c r="H17">
        <v>2</v>
      </c>
      <c r="I17">
        <v>1</v>
      </c>
      <c r="J17">
        <v>1</v>
      </c>
      <c r="K17">
        <v>2</v>
      </c>
      <c r="L17">
        <v>2</v>
      </c>
      <c r="N17" s="5" t="s">
        <v>88</v>
      </c>
      <c r="O17" s="5"/>
      <c r="P17" s="7">
        <f>P15+P16</f>
        <v>18</v>
      </c>
      <c r="Q17" s="7">
        <f>Q15+Q16</f>
        <v>25</v>
      </c>
      <c r="R17" s="7">
        <f>R15+R16</f>
        <v>43</v>
      </c>
    </row>
    <row r="18" spans="1:23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1</v>
      </c>
      <c r="I18">
        <v>1</v>
      </c>
      <c r="J18">
        <v>2</v>
      </c>
      <c r="K18">
        <v>1</v>
      </c>
      <c r="L18">
        <v>1</v>
      </c>
    </row>
    <row r="19" spans="1:23" x14ac:dyDescent="0.3">
      <c r="A19" s="54"/>
      <c r="B19" s="54"/>
      <c r="C19" s="69"/>
      <c r="D19" s="54"/>
      <c r="E19" s="54"/>
      <c r="F19" s="54"/>
      <c r="H19">
        <v>2</v>
      </c>
      <c r="I19">
        <v>1</v>
      </c>
      <c r="J19">
        <v>1</v>
      </c>
      <c r="K19">
        <v>2</v>
      </c>
      <c r="L19">
        <v>2</v>
      </c>
      <c r="N19" s="5" t="s">
        <v>117</v>
      </c>
      <c r="O19" s="53" t="s">
        <v>90</v>
      </c>
      <c r="P19" s="53"/>
      <c r="Q19" s="53"/>
      <c r="R19" s="5"/>
      <c r="T19" s="9" t="s">
        <v>83</v>
      </c>
      <c r="U19" s="9" t="s">
        <v>84</v>
      </c>
      <c r="V19" s="9" t="s">
        <v>85</v>
      </c>
      <c r="W19" s="9" t="s">
        <v>86</v>
      </c>
    </row>
    <row r="20" spans="1:23" x14ac:dyDescent="0.3">
      <c r="A20" s="54"/>
      <c r="B20" s="54"/>
      <c r="C20" s="69"/>
      <c r="D20" s="54"/>
      <c r="E20" s="54"/>
      <c r="F20" s="54"/>
      <c r="H20">
        <v>2</v>
      </c>
      <c r="I20">
        <v>2</v>
      </c>
      <c r="J20">
        <v>2</v>
      </c>
      <c r="K20">
        <v>2</v>
      </c>
      <c r="L20">
        <v>1</v>
      </c>
      <c r="N20" s="53" t="s">
        <v>89</v>
      </c>
      <c r="O20" s="5"/>
      <c r="P20" s="5" t="s">
        <v>87</v>
      </c>
      <c r="Q20" s="5" t="s">
        <v>56</v>
      </c>
      <c r="R20" s="5" t="s">
        <v>88</v>
      </c>
      <c r="T20" s="41">
        <f>P21/(P21+Q21)</f>
        <v>0.44</v>
      </c>
      <c r="U20" s="41">
        <f>1-T20</f>
        <v>0.56000000000000005</v>
      </c>
      <c r="V20" s="40">
        <f>Q22/(Q22+P22)</f>
        <v>0.39130434782608697</v>
      </c>
      <c r="W20" s="40">
        <f>1-V20</f>
        <v>0.60869565217391308</v>
      </c>
    </row>
    <row r="21" spans="1:23" x14ac:dyDescent="0.3">
      <c r="A21" s="54"/>
      <c r="B21" s="54"/>
      <c r="C21" s="70"/>
      <c r="D21" s="54"/>
      <c r="E21" s="54"/>
      <c r="F21" s="54"/>
      <c r="H21">
        <v>2</v>
      </c>
      <c r="I21">
        <v>2</v>
      </c>
      <c r="J21">
        <v>1</v>
      </c>
      <c r="K21">
        <v>1</v>
      </c>
      <c r="L21">
        <v>1</v>
      </c>
      <c r="N21" s="53"/>
      <c r="O21" s="5" t="s">
        <v>87</v>
      </c>
      <c r="P21" s="7">
        <v>11</v>
      </c>
      <c r="Q21" s="7">
        <v>14</v>
      </c>
      <c r="R21" s="7">
        <f>P21+Q21</f>
        <v>25</v>
      </c>
    </row>
    <row r="22" spans="1:23" x14ac:dyDescent="0.3">
      <c r="A22" s="37">
        <v>1</v>
      </c>
      <c r="B22" s="37">
        <v>113</v>
      </c>
      <c r="C22" s="40">
        <f>($C$4*$D$11*$A$11^0)+($D$3*$B$11*$C$11^0)</f>
        <v>103.10773003905895</v>
      </c>
      <c r="D22" s="37">
        <v>109.96599999999999</v>
      </c>
      <c r="E22" s="5" t="s">
        <v>125</v>
      </c>
      <c r="F22" s="5" t="s">
        <v>125</v>
      </c>
      <c r="H22">
        <v>1</v>
      </c>
      <c r="I22">
        <v>1</v>
      </c>
      <c r="J22">
        <v>2</v>
      </c>
      <c r="K22">
        <v>2</v>
      </c>
      <c r="L22">
        <v>2</v>
      </c>
      <c r="N22" s="53"/>
      <c r="O22" s="5" t="s">
        <v>56</v>
      </c>
      <c r="P22" s="7">
        <v>14</v>
      </c>
      <c r="Q22" s="7">
        <v>9</v>
      </c>
      <c r="R22" s="7">
        <f>P22+Q22</f>
        <v>23</v>
      </c>
    </row>
    <row r="23" spans="1:23" x14ac:dyDescent="0.3">
      <c r="A23" s="37">
        <v>2</v>
      </c>
      <c r="B23" s="37">
        <v>22</v>
      </c>
      <c r="C23" s="40">
        <f>($C$4*$D$11*$A$11^1)+($D$3*$B$11*$C$11^1)</f>
        <v>30.976382959396858</v>
      </c>
      <c r="D23" s="37">
        <v>29.065999999999999</v>
      </c>
      <c r="E23" s="5" t="s">
        <v>125</v>
      </c>
      <c r="F23" s="5" t="s">
        <v>125</v>
      </c>
      <c r="H23">
        <v>2</v>
      </c>
      <c r="I23">
        <v>2</v>
      </c>
      <c r="J23">
        <v>1</v>
      </c>
      <c r="K23">
        <v>1</v>
      </c>
      <c r="L23">
        <v>1</v>
      </c>
      <c r="N23" s="5" t="s">
        <v>88</v>
      </c>
      <c r="O23" s="5"/>
      <c r="P23" s="7">
        <f>P21+P22</f>
        <v>25</v>
      </c>
      <c r="Q23" s="7">
        <f>Q21+Q22</f>
        <v>23</v>
      </c>
      <c r="R23" s="7">
        <f>R21+R22</f>
        <v>48</v>
      </c>
    </row>
    <row r="24" spans="1:23" x14ac:dyDescent="0.3">
      <c r="A24" s="37">
        <v>3</v>
      </c>
      <c r="B24" s="37">
        <v>10</v>
      </c>
      <c r="C24" s="40">
        <f>($C$4*$D$11*$A$11^2)+($D$3*$B$11*$C$11^2)</f>
        <v>9.408021608856993</v>
      </c>
      <c r="D24" s="37">
        <v>8.5399999999999991</v>
      </c>
      <c r="E24" s="37">
        <v>5</v>
      </c>
      <c r="F24" s="5">
        <v>5</v>
      </c>
      <c r="H24">
        <v>1</v>
      </c>
      <c r="I24">
        <v>1</v>
      </c>
      <c r="J24">
        <v>2</v>
      </c>
      <c r="K24">
        <v>2</v>
      </c>
      <c r="L24">
        <v>2</v>
      </c>
    </row>
    <row r="25" spans="1:23" x14ac:dyDescent="0.3">
      <c r="A25" s="37">
        <v>4</v>
      </c>
      <c r="B25" s="37">
        <v>3</v>
      </c>
      <c r="C25" s="40">
        <f>($C$4*$D$11*$A$11^3)+($D$3*$B$11*$C$11^3)</f>
        <v>2.8873040174526667</v>
      </c>
      <c r="D25" s="37">
        <v>2.5510000000000002</v>
      </c>
      <c r="E25" s="5">
        <v>0</v>
      </c>
      <c r="F25" s="5">
        <v>3</v>
      </c>
      <c r="H25">
        <v>1</v>
      </c>
      <c r="I25">
        <v>1</v>
      </c>
      <c r="J25">
        <v>2</v>
      </c>
      <c r="K25">
        <v>1</v>
      </c>
      <c r="L25">
        <v>2</v>
      </c>
      <c r="N25" s="5" t="s">
        <v>118</v>
      </c>
      <c r="O25" s="53" t="s">
        <v>90</v>
      </c>
      <c r="P25" s="53"/>
      <c r="Q25" s="53"/>
      <c r="R25" s="5"/>
      <c r="T25" s="9" t="s">
        <v>83</v>
      </c>
      <c r="U25" s="9" t="s">
        <v>84</v>
      </c>
      <c r="V25" s="9" t="s">
        <v>85</v>
      </c>
      <c r="W25" s="9" t="s">
        <v>86</v>
      </c>
    </row>
    <row r="26" spans="1:23" x14ac:dyDescent="0.3">
      <c r="A26" s="37">
        <v>5</v>
      </c>
      <c r="B26" s="37">
        <v>1</v>
      </c>
      <c r="C26" s="40">
        <f>($C$4*$D$11*$A$11^4)+($D$3*$B$11*$C$11^4)</f>
        <v>0.89481116604706135</v>
      </c>
      <c r="D26" s="37">
        <v>0.79700000000000004</v>
      </c>
      <c r="E26" s="5">
        <v>1</v>
      </c>
      <c r="F26" s="5">
        <v>0</v>
      </c>
      <c r="H26">
        <v>2</v>
      </c>
      <c r="I26">
        <v>2</v>
      </c>
      <c r="J26">
        <v>2</v>
      </c>
      <c r="K26">
        <v>1</v>
      </c>
      <c r="L26">
        <v>2</v>
      </c>
      <c r="N26" s="53" t="s">
        <v>89</v>
      </c>
      <c r="O26" s="5"/>
      <c r="P26" s="5" t="s">
        <v>87</v>
      </c>
      <c r="Q26" s="5" t="s">
        <v>56</v>
      </c>
      <c r="R26" s="5" t="s">
        <v>88</v>
      </c>
      <c r="T26" s="41">
        <f>P27/(P27+Q27)</f>
        <v>0.23076923076923078</v>
      </c>
      <c r="U26" s="41">
        <f>1-T26</f>
        <v>0.76923076923076916</v>
      </c>
      <c r="V26" s="40">
        <f>Q28/(Q28+P28)</f>
        <v>0.35714285714285715</v>
      </c>
      <c r="W26" s="40">
        <f>1-V26</f>
        <v>0.64285714285714279</v>
      </c>
    </row>
    <row r="27" spans="1:23" x14ac:dyDescent="0.3">
      <c r="A27" s="37">
        <v>6</v>
      </c>
      <c r="B27" s="37">
        <v>1</v>
      </c>
      <c r="C27" s="40">
        <f>($C$4*$D$11*$A$11^5)+($D$3*$B$11*$C$11^5)</f>
        <v>0.27981680047775676</v>
      </c>
      <c r="D27" s="37">
        <v>0.223</v>
      </c>
      <c r="E27" s="5">
        <v>0</v>
      </c>
      <c r="F27" s="5">
        <v>1</v>
      </c>
      <c r="H27">
        <v>1</v>
      </c>
      <c r="I27">
        <v>2</v>
      </c>
      <c r="J27">
        <v>1</v>
      </c>
      <c r="K27">
        <v>2</v>
      </c>
      <c r="L27">
        <v>1</v>
      </c>
      <c r="N27" s="53"/>
      <c r="O27" s="5" t="s">
        <v>87</v>
      </c>
      <c r="P27" s="7">
        <v>3</v>
      </c>
      <c r="Q27" s="7">
        <v>10</v>
      </c>
      <c r="R27" s="7">
        <f>P27+Q27</f>
        <v>13</v>
      </c>
    </row>
    <row r="28" spans="1:23" x14ac:dyDescent="0.3">
      <c r="A28" s="37">
        <v>7</v>
      </c>
      <c r="B28" s="37">
        <v>0</v>
      </c>
      <c r="C28" s="40">
        <f>($C$4*$D$11*$A$11^6)+($D$3*$B$11*$C$11^6)</f>
        <v>8.8214940225762387E-2</v>
      </c>
      <c r="D28" s="37">
        <v>6.9000000000000006E-2</v>
      </c>
      <c r="E28" s="5">
        <v>0</v>
      </c>
      <c r="F28" s="5">
        <v>0</v>
      </c>
      <c r="H28">
        <v>2</v>
      </c>
      <c r="I28">
        <v>2</v>
      </c>
      <c r="J28">
        <v>2</v>
      </c>
      <c r="K28">
        <v>2</v>
      </c>
      <c r="L28">
        <v>2</v>
      </c>
      <c r="N28" s="53"/>
      <c r="O28" s="5" t="s">
        <v>56</v>
      </c>
      <c r="P28" s="7">
        <v>9</v>
      </c>
      <c r="Q28" s="7">
        <v>5</v>
      </c>
      <c r="R28" s="7">
        <f>P28+Q28</f>
        <v>14</v>
      </c>
    </row>
    <row r="29" spans="1:23" x14ac:dyDescent="0.3">
      <c r="A29" s="37">
        <v>8</v>
      </c>
      <c r="B29" s="37">
        <v>0</v>
      </c>
      <c r="C29" s="40">
        <f>($C$4*$D$11*$A$11^7)+($D$3*$B$11*$C$11^7)</f>
        <v>2.8012004876093302E-2</v>
      </c>
      <c r="D29" s="37">
        <v>2.7E-2</v>
      </c>
      <c r="E29" s="5">
        <v>0</v>
      </c>
      <c r="F29" s="5">
        <v>0</v>
      </c>
      <c r="H29">
        <v>1</v>
      </c>
      <c r="I29">
        <v>1</v>
      </c>
      <c r="J29">
        <v>1</v>
      </c>
      <c r="K29">
        <v>2</v>
      </c>
      <c r="N29" s="5" t="s">
        <v>88</v>
      </c>
      <c r="O29" s="5"/>
      <c r="P29" s="7">
        <f>P27+P28</f>
        <v>12</v>
      </c>
      <c r="Q29" s="7">
        <f>Q27+Q28</f>
        <v>15</v>
      </c>
      <c r="R29" s="7">
        <f>R27+R28</f>
        <v>27</v>
      </c>
    </row>
    <row r="30" spans="1:23" x14ac:dyDescent="0.3">
      <c r="A30" s="37" t="s">
        <v>103</v>
      </c>
      <c r="B30" s="37">
        <v>0</v>
      </c>
      <c r="C30" s="40">
        <f>($C$4*$D$11*$A$11^8)+($D$3*$B$11*$C$11^8)</f>
        <v>8.9514086820216936E-3</v>
      </c>
      <c r="D30" s="37">
        <v>6.0000000000000001E-3</v>
      </c>
      <c r="E30" s="5">
        <v>0</v>
      </c>
      <c r="F30" s="5">
        <v>0</v>
      </c>
      <c r="H30">
        <v>2</v>
      </c>
      <c r="I30">
        <v>2</v>
      </c>
      <c r="J30">
        <v>2</v>
      </c>
      <c r="K30">
        <v>1</v>
      </c>
    </row>
    <row r="31" spans="1:23" x14ac:dyDescent="0.3">
      <c r="H31">
        <v>1</v>
      </c>
      <c r="I31">
        <v>1</v>
      </c>
      <c r="J31">
        <v>1</v>
      </c>
      <c r="K31">
        <v>1</v>
      </c>
    </row>
    <row r="32" spans="1:23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2</v>
      </c>
      <c r="I32">
        <v>1</v>
      </c>
      <c r="J32">
        <v>1</v>
      </c>
      <c r="K32">
        <v>1</v>
      </c>
    </row>
    <row r="33" spans="1:11" x14ac:dyDescent="0.3">
      <c r="A33" s="53"/>
      <c r="B33" s="54"/>
      <c r="C33" s="54"/>
      <c r="D33" s="54"/>
      <c r="E33" s="54"/>
      <c r="F33" s="53"/>
      <c r="G33" s="53"/>
      <c r="H33">
        <v>2</v>
      </c>
      <c r="I33">
        <v>1</v>
      </c>
      <c r="J33">
        <v>2</v>
      </c>
      <c r="K33">
        <v>1</v>
      </c>
    </row>
    <row r="34" spans="1:11" x14ac:dyDescent="0.3">
      <c r="A34" s="5" t="s">
        <v>87</v>
      </c>
      <c r="B34" s="64">
        <f>E24+E25+E26+E27+E28+E29+E30</f>
        <v>6</v>
      </c>
      <c r="C34" s="65"/>
      <c r="D34" s="66">
        <f>E24*1+E25*2+E26*3+E27*4+E28*5+E29*6+E30*7</f>
        <v>8</v>
      </c>
      <c r="E34" s="67"/>
      <c r="F34" s="48">
        <f>B34/D34</f>
        <v>0.75</v>
      </c>
      <c r="G34" s="49">
        <f>F34</f>
        <v>0.75</v>
      </c>
      <c r="H34">
        <v>1</v>
      </c>
      <c r="I34">
        <v>2</v>
      </c>
      <c r="J34">
        <v>2</v>
      </c>
      <c r="K34">
        <v>1</v>
      </c>
    </row>
    <row r="35" spans="1:11" x14ac:dyDescent="0.3">
      <c r="A35" s="5" t="s">
        <v>56</v>
      </c>
      <c r="B35" s="64">
        <f>F24+F25+F26+F27+F28+F29+F30</f>
        <v>9</v>
      </c>
      <c r="C35" s="65"/>
      <c r="D35" s="66">
        <f>F24*1+F25*2+F26*3+F27*4+F28*5+F29*6+F30*7</f>
        <v>15</v>
      </c>
      <c r="E35" s="67"/>
      <c r="F35" s="48">
        <f>B35/D35</f>
        <v>0.6</v>
      </c>
      <c r="G35" s="49">
        <f>F35</f>
        <v>0.6</v>
      </c>
      <c r="H35">
        <v>2</v>
      </c>
      <c r="I35">
        <v>2</v>
      </c>
      <c r="J35">
        <v>2</v>
      </c>
      <c r="K35">
        <v>2</v>
      </c>
    </row>
    <row r="36" spans="1:11" x14ac:dyDescent="0.3">
      <c r="H36">
        <v>1</v>
      </c>
      <c r="I36">
        <v>1</v>
      </c>
      <c r="J36">
        <v>2</v>
      </c>
      <c r="K36">
        <v>2</v>
      </c>
    </row>
    <row r="37" spans="1:11" x14ac:dyDescent="0.3">
      <c r="H37">
        <v>2</v>
      </c>
      <c r="I37">
        <v>2</v>
      </c>
      <c r="J37">
        <v>2</v>
      </c>
      <c r="K37">
        <v>2</v>
      </c>
    </row>
    <row r="38" spans="1:11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2</v>
      </c>
      <c r="I38">
        <v>1</v>
      </c>
      <c r="J38">
        <v>2</v>
      </c>
      <c r="K38">
        <v>2</v>
      </c>
    </row>
    <row r="39" spans="1:11" x14ac:dyDescent="0.3">
      <c r="A39" s="80" t="s">
        <v>87</v>
      </c>
      <c r="B39" s="83">
        <v>6</v>
      </c>
      <c r="C39" s="83"/>
      <c r="D39" s="92">
        <v>27</v>
      </c>
      <c r="E39" s="92"/>
      <c r="F39" s="82">
        <f>SUM(B39+D39)</f>
        <v>33</v>
      </c>
      <c r="H39">
        <v>2</v>
      </c>
      <c r="I39">
        <v>2</v>
      </c>
      <c r="J39">
        <v>1</v>
      </c>
      <c r="K39">
        <v>1</v>
      </c>
    </row>
    <row r="40" spans="1:11" x14ac:dyDescent="0.3">
      <c r="A40" s="80" t="s">
        <v>56</v>
      </c>
      <c r="B40" s="83">
        <v>9</v>
      </c>
      <c r="C40" s="83"/>
      <c r="D40" s="92">
        <v>36</v>
      </c>
      <c r="E40" s="92"/>
      <c r="F40" s="82">
        <f>SUM(B40+D40)</f>
        <v>45</v>
      </c>
      <c r="H40">
        <v>2</v>
      </c>
      <c r="I40">
        <v>1</v>
      </c>
      <c r="J40">
        <v>2</v>
      </c>
      <c r="K40">
        <v>2</v>
      </c>
    </row>
    <row r="41" spans="1:11" x14ac:dyDescent="0.3">
      <c r="A41" s="85"/>
      <c r="B41" s="86">
        <f>SUM(B39:B40)</f>
        <v>15</v>
      </c>
      <c r="C41" s="86"/>
      <c r="D41" s="87">
        <f>SUM(D39:D40)</f>
        <v>63</v>
      </c>
      <c r="E41" s="87"/>
      <c r="F41" s="82">
        <f>SUM(F39:F40)</f>
        <v>78</v>
      </c>
      <c r="H41">
        <v>1</v>
      </c>
      <c r="I41">
        <v>2</v>
      </c>
      <c r="J41">
        <v>1</v>
      </c>
      <c r="K41">
        <v>1</v>
      </c>
    </row>
    <row r="42" spans="1:11" x14ac:dyDescent="0.3">
      <c r="A42" s="40"/>
      <c r="B42" s="84" t="s">
        <v>134</v>
      </c>
      <c r="C42" s="84"/>
      <c r="D42" s="84" t="s">
        <v>132</v>
      </c>
      <c r="E42" s="84"/>
      <c r="F42" s="73"/>
      <c r="H42">
        <v>2</v>
      </c>
      <c r="I42">
        <v>1</v>
      </c>
      <c r="J42">
        <v>2</v>
      </c>
      <c r="K42">
        <v>2</v>
      </c>
    </row>
    <row r="43" spans="1:11" x14ac:dyDescent="0.3">
      <c r="A43" s="82" t="s">
        <v>87</v>
      </c>
      <c r="B43" s="81">
        <f>B41*F39/F41</f>
        <v>6.3461538461538458</v>
      </c>
      <c r="C43" s="81"/>
      <c r="D43" s="81">
        <f>D41*F39/F41</f>
        <v>26.653846153846153</v>
      </c>
      <c r="E43" s="81"/>
      <c r="F43" s="73"/>
      <c r="H43">
        <v>1</v>
      </c>
      <c r="I43">
        <v>1</v>
      </c>
      <c r="J43">
        <v>1</v>
      </c>
      <c r="K43">
        <v>1</v>
      </c>
    </row>
    <row r="44" spans="1:11" x14ac:dyDescent="0.3">
      <c r="A44" s="82" t="s">
        <v>56</v>
      </c>
      <c r="B44" s="81">
        <f>B41*F40/F41</f>
        <v>8.6538461538461533</v>
      </c>
      <c r="C44" s="81"/>
      <c r="D44" s="81">
        <f>D41*F40/F41</f>
        <v>36.346153846153847</v>
      </c>
      <c r="E44" s="81"/>
      <c r="F44" s="73"/>
      <c r="H44">
        <v>2</v>
      </c>
      <c r="I44">
        <v>1</v>
      </c>
      <c r="J44">
        <v>2</v>
      </c>
      <c r="K44">
        <v>2</v>
      </c>
    </row>
    <row r="45" spans="1:11" x14ac:dyDescent="0.3">
      <c r="A45" s="88"/>
      <c r="B45" s="88"/>
      <c r="C45" s="88"/>
      <c r="D45" s="88"/>
      <c r="E45" s="88"/>
      <c r="F45" s="73"/>
      <c r="H45">
        <v>1</v>
      </c>
      <c r="I45">
        <v>2</v>
      </c>
      <c r="K45">
        <v>2</v>
      </c>
    </row>
    <row r="46" spans="1:11" x14ac:dyDescent="0.3">
      <c r="A46" s="88" t="s">
        <v>135</v>
      </c>
      <c r="B46" s="89">
        <f>CHITEST(B39:E40,B43:E44)</f>
        <v>0.99785690457393439</v>
      </c>
      <c r="C46" s="88"/>
      <c r="D46" s="88"/>
      <c r="E46" s="88"/>
      <c r="F46" s="73"/>
      <c r="H46">
        <v>2</v>
      </c>
      <c r="I46">
        <v>1</v>
      </c>
      <c r="K46">
        <v>1</v>
      </c>
    </row>
    <row r="47" spans="1:11" x14ac:dyDescent="0.3">
      <c r="I47">
        <v>2</v>
      </c>
      <c r="K47">
        <v>2</v>
      </c>
    </row>
    <row r="48" spans="1:11" x14ac:dyDescent="0.3">
      <c r="I48">
        <v>1</v>
      </c>
      <c r="K48">
        <v>1</v>
      </c>
    </row>
    <row r="49" spans="11:11" x14ac:dyDescent="0.3">
      <c r="K49">
        <v>1</v>
      </c>
    </row>
  </sheetData>
  <mergeCells count="42">
    <mergeCell ref="B44:C44"/>
    <mergeCell ref="D44:E44"/>
    <mergeCell ref="B41:C41"/>
    <mergeCell ref="D41:E41"/>
    <mergeCell ref="B42:C42"/>
    <mergeCell ref="D42:E42"/>
    <mergeCell ref="B43:C43"/>
    <mergeCell ref="D43:E43"/>
    <mergeCell ref="B38:C38"/>
    <mergeCell ref="D38:E38"/>
    <mergeCell ref="B39:C39"/>
    <mergeCell ref="D39:E39"/>
    <mergeCell ref="B40:C40"/>
    <mergeCell ref="D40:E40"/>
    <mergeCell ref="B34:C34"/>
    <mergeCell ref="D34:E34"/>
    <mergeCell ref="B35:C35"/>
    <mergeCell ref="D35:E35"/>
    <mergeCell ref="A32:A33"/>
    <mergeCell ref="B32:C33"/>
    <mergeCell ref="D32:E33"/>
    <mergeCell ref="F32:F33"/>
    <mergeCell ref="G32:G33"/>
    <mergeCell ref="N14:N16"/>
    <mergeCell ref="O19:Q19"/>
    <mergeCell ref="N20:N22"/>
    <mergeCell ref="O25:Q25"/>
    <mergeCell ref="N26:N28"/>
    <mergeCell ref="O1:Q1"/>
    <mergeCell ref="N2:N4"/>
    <mergeCell ref="O7:Q7"/>
    <mergeCell ref="N8:N10"/>
    <mergeCell ref="O13:Q13"/>
    <mergeCell ref="B1:D1"/>
    <mergeCell ref="A2:A4"/>
    <mergeCell ref="E10:F12"/>
    <mergeCell ref="A18:A21"/>
    <mergeCell ref="B18:B21"/>
    <mergeCell ref="C18:C21"/>
    <mergeCell ref="D18:D21"/>
    <mergeCell ref="E18:E21"/>
    <mergeCell ref="F18:F21"/>
  </mergeCells>
  <conditionalFormatting sqref="H1:L49">
    <cfRule type="cellIs" dxfId="130" priority="5" operator="equal">
      <formula>1</formula>
    </cfRule>
    <cfRule type="cellIs" dxfId="129" priority="6" operator="equal">
      <formula>2</formula>
    </cfRule>
  </conditionalFormatting>
  <conditionalFormatting sqref="A43:B44 A45:E46 D42:D44 B42">
    <cfRule type="cellIs" dxfId="51" priority="1" operator="equal">
      <formula>1</formula>
    </cfRule>
    <cfRule type="cellIs" dxfId="50" priority="2" operator="equal">
      <formula>2</formula>
    </cfRule>
    <cfRule type="cellIs" dxfId="49" priority="3" operator="equal">
      <formula>1</formula>
    </cfRule>
    <cfRule type="cellIs" dxfId="48" priority="4" operator="equal">
      <formula>2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D4FB-7601-41BB-B04F-201B1A579435}">
  <dimension ref="A1:W53"/>
  <sheetViews>
    <sheetView topLeftCell="A25" workbookViewId="0">
      <selection activeCell="D41" sqref="D41:E41"/>
    </sheetView>
  </sheetViews>
  <sheetFormatPr defaultRowHeight="14.4" x14ac:dyDescent="0.3"/>
  <cols>
    <col min="3" max="3" width="9.77734375" customWidth="1"/>
  </cols>
  <sheetData>
    <row r="1" spans="1:23" x14ac:dyDescent="0.3">
      <c r="A1" s="5"/>
      <c r="B1" s="53" t="s">
        <v>90</v>
      </c>
      <c r="C1" s="53"/>
      <c r="D1" s="53"/>
      <c r="E1" s="5"/>
      <c r="H1">
        <v>1</v>
      </c>
      <c r="I1">
        <v>2</v>
      </c>
      <c r="J1">
        <v>1</v>
      </c>
      <c r="K1">
        <v>2</v>
      </c>
      <c r="N1" s="5" t="s">
        <v>113</v>
      </c>
      <c r="O1" s="53" t="s">
        <v>90</v>
      </c>
      <c r="P1" s="53"/>
      <c r="Q1" s="53"/>
      <c r="R1" s="5"/>
      <c r="T1" s="9" t="s">
        <v>83</v>
      </c>
      <c r="U1" s="9" t="s">
        <v>84</v>
      </c>
      <c r="V1" s="9" t="s">
        <v>85</v>
      </c>
      <c r="W1" s="9" t="s">
        <v>86</v>
      </c>
    </row>
    <row r="2" spans="1:23" x14ac:dyDescent="0.3">
      <c r="A2" s="53" t="s">
        <v>89</v>
      </c>
      <c r="B2" s="5"/>
      <c r="C2" s="5" t="s">
        <v>87</v>
      </c>
      <c r="D2" s="5" t="s">
        <v>56</v>
      </c>
      <c r="E2" s="5" t="s">
        <v>88</v>
      </c>
      <c r="H2">
        <v>2</v>
      </c>
      <c r="I2">
        <v>1</v>
      </c>
      <c r="J2">
        <v>2</v>
      </c>
      <c r="K2">
        <v>2</v>
      </c>
      <c r="N2" s="53" t="s">
        <v>89</v>
      </c>
      <c r="O2" s="5"/>
      <c r="P2" s="5" t="s">
        <v>87</v>
      </c>
      <c r="Q2" s="5" t="s">
        <v>56</v>
      </c>
      <c r="R2" s="5" t="s">
        <v>88</v>
      </c>
      <c r="T2" s="41">
        <f>P3/(P3+Q3)</f>
        <v>0.23809523809523808</v>
      </c>
      <c r="U2" s="41">
        <f>1-T2</f>
        <v>0.76190476190476186</v>
      </c>
      <c r="V2" s="41">
        <f>Q4/(Q4+P4)</f>
        <v>0.375</v>
      </c>
      <c r="W2" s="41">
        <f>1-V2</f>
        <v>0.625</v>
      </c>
    </row>
    <row r="3" spans="1:23" x14ac:dyDescent="0.3">
      <c r="A3" s="53"/>
      <c r="B3" s="5" t="s">
        <v>87</v>
      </c>
      <c r="C3" s="7">
        <v>33</v>
      </c>
      <c r="D3" s="7">
        <v>63</v>
      </c>
      <c r="E3" s="7">
        <f>C3+D3</f>
        <v>96</v>
      </c>
      <c r="H3">
        <v>1</v>
      </c>
      <c r="I3">
        <v>2</v>
      </c>
      <c r="J3">
        <v>2</v>
      </c>
      <c r="K3">
        <v>1</v>
      </c>
      <c r="N3" s="53"/>
      <c r="O3" s="5" t="s">
        <v>87</v>
      </c>
      <c r="P3" s="7">
        <v>5</v>
      </c>
      <c r="Q3" s="7">
        <v>16</v>
      </c>
      <c r="R3" s="7">
        <f>P3+Q3</f>
        <v>21</v>
      </c>
      <c r="T3" t="s">
        <v>116</v>
      </c>
    </row>
    <row r="4" spans="1:23" x14ac:dyDescent="0.3">
      <c r="A4" s="53"/>
      <c r="B4" s="5" t="s">
        <v>56</v>
      </c>
      <c r="C4" s="7">
        <v>64</v>
      </c>
      <c r="D4" s="7">
        <v>23</v>
      </c>
      <c r="E4" s="7">
        <f>C4+D4</f>
        <v>87</v>
      </c>
      <c r="H4">
        <v>1</v>
      </c>
      <c r="I4">
        <v>1</v>
      </c>
      <c r="J4">
        <v>1</v>
      </c>
      <c r="K4">
        <v>2</v>
      </c>
      <c r="N4" s="53"/>
      <c r="O4" s="5" t="s">
        <v>56</v>
      </c>
      <c r="P4" s="7">
        <v>15</v>
      </c>
      <c r="Q4" s="7">
        <v>9</v>
      </c>
      <c r="R4" s="7">
        <f>P4+Q4</f>
        <v>24</v>
      </c>
    </row>
    <row r="5" spans="1:23" x14ac:dyDescent="0.3">
      <c r="A5" s="5" t="s">
        <v>88</v>
      </c>
      <c r="B5" s="5"/>
      <c r="C5" s="7">
        <f>C3+C4</f>
        <v>97</v>
      </c>
      <c r="D5" s="7">
        <f>D3+D4</f>
        <v>86</v>
      </c>
      <c r="E5" s="7">
        <f>E3+E4</f>
        <v>183</v>
      </c>
      <c r="H5">
        <v>1</v>
      </c>
      <c r="I5">
        <v>2</v>
      </c>
      <c r="J5">
        <v>2</v>
      </c>
      <c r="K5">
        <v>1</v>
      </c>
      <c r="N5" s="5" t="s">
        <v>88</v>
      </c>
      <c r="O5" s="5"/>
      <c r="P5" s="7">
        <f>P3+P4</f>
        <v>20</v>
      </c>
      <c r="Q5" s="7">
        <f>Q3+Q4</f>
        <v>25</v>
      </c>
      <c r="R5" s="7">
        <f>R3+R4</f>
        <v>45</v>
      </c>
    </row>
    <row r="6" spans="1:23" x14ac:dyDescent="0.3">
      <c r="H6">
        <v>2</v>
      </c>
      <c r="I6">
        <v>1</v>
      </c>
      <c r="J6">
        <v>1</v>
      </c>
      <c r="K6">
        <v>1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1</v>
      </c>
      <c r="I7">
        <v>1</v>
      </c>
      <c r="J7">
        <v>2</v>
      </c>
      <c r="K7">
        <v>1</v>
      </c>
      <c r="N7" s="5" t="s">
        <v>114</v>
      </c>
      <c r="O7" s="53" t="s">
        <v>90</v>
      </c>
      <c r="P7" s="53"/>
      <c r="Q7" s="53"/>
      <c r="R7" s="5"/>
      <c r="T7" s="9" t="s">
        <v>83</v>
      </c>
      <c r="U7" s="9" t="s">
        <v>84</v>
      </c>
      <c r="V7" s="9" t="s">
        <v>85</v>
      </c>
      <c r="W7" s="9" t="s">
        <v>86</v>
      </c>
    </row>
    <row r="8" spans="1:23" x14ac:dyDescent="0.3">
      <c r="A8" s="8">
        <f>C3/C5</f>
        <v>0.34020618556701032</v>
      </c>
      <c r="B8" s="8">
        <f>1-A8</f>
        <v>0.65979381443298968</v>
      </c>
      <c r="C8" s="8">
        <f>D4/E4</f>
        <v>0.26436781609195403</v>
      </c>
      <c r="D8" s="8">
        <f>1-C8</f>
        <v>0.73563218390804597</v>
      </c>
      <c r="H8">
        <v>2</v>
      </c>
      <c r="I8">
        <v>1</v>
      </c>
      <c r="J8">
        <v>1</v>
      </c>
      <c r="K8">
        <v>2</v>
      </c>
      <c r="N8" s="53" t="s">
        <v>89</v>
      </c>
      <c r="O8" s="5"/>
      <c r="P8" s="5" t="s">
        <v>87</v>
      </c>
      <c r="Q8" s="5" t="s">
        <v>56</v>
      </c>
      <c r="R8" s="5" t="s">
        <v>88</v>
      </c>
      <c r="T8" s="41">
        <f>P9/(P9+Q9)</f>
        <v>0.5</v>
      </c>
      <c r="U8" s="41">
        <f>1-T8</f>
        <v>0.5</v>
      </c>
      <c r="V8" s="41">
        <f>Q10/(Q10+P10)</f>
        <v>7.1428571428571425E-2</v>
      </c>
      <c r="W8" s="41">
        <f>1-V8</f>
        <v>0.9285714285714286</v>
      </c>
    </row>
    <row r="9" spans="1:23" x14ac:dyDescent="0.3">
      <c r="H9">
        <v>1</v>
      </c>
      <c r="I9">
        <v>2</v>
      </c>
      <c r="J9">
        <v>2</v>
      </c>
      <c r="K9">
        <v>2</v>
      </c>
      <c r="N9" s="53"/>
      <c r="O9" s="5" t="s">
        <v>87</v>
      </c>
      <c r="P9" s="7">
        <v>12</v>
      </c>
      <c r="Q9" s="7">
        <v>12</v>
      </c>
      <c r="R9" s="7">
        <f>P9+Q9</f>
        <v>24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2</v>
      </c>
      <c r="I10">
        <v>1</v>
      </c>
      <c r="J10">
        <v>1</v>
      </c>
      <c r="K10">
        <v>1</v>
      </c>
      <c r="N10" s="53"/>
      <c r="O10" s="5" t="s">
        <v>56</v>
      </c>
      <c r="P10" s="7">
        <v>13</v>
      </c>
      <c r="Q10" s="7">
        <v>1</v>
      </c>
      <c r="R10" s="7">
        <f>P10+Q10</f>
        <v>14</v>
      </c>
    </row>
    <row r="11" spans="1:23" x14ac:dyDescent="0.3">
      <c r="A11" s="43">
        <f>C3/E3</f>
        <v>0.34375</v>
      </c>
      <c r="B11" s="43">
        <f>1-A11</f>
        <v>0.65625</v>
      </c>
      <c r="C11" s="43">
        <f>D4/E4</f>
        <v>0.26436781609195403</v>
      </c>
      <c r="D11" s="43">
        <f>1-C11</f>
        <v>0.73563218390804597</v>
      </c>
      <c r="E11" s="59"/>
      <c r="F11" s="59"/>
      <c r="H11">
        <v>1</v>
      </c>
      <c r="I11">
        <v>1</v>
      </c>
      <c r="J11">
        <v>2</v>
      </c>
      <c r="K11">
        <v>1</v>
      </c>
      <c r="N11" s="5" t="s">
        <v>88</v>
      </c>
      <c r="O11" s="5"/>
      <c r="P11" s="7">
        <f>P9+P10</f>
        <v>25</v>
      </c>
      <c r="Q11" s="7">
        <f>Q9+Q10</f>
        <v>13</v>
      </c>
      <c r="R11" s="7">
        <f>R9+R10</f>
        <v>38</v>
      </c>
    </row>
    <row r="12" spans="1:23" x14ac:dyDescent="0.3">
      <c r="E12" s="59"/>
      <c r="F12" s="59"/>
      <c r="H12">
        <v>2</v>
      </c>
      <c r="I12">
        <v>1</v>
      </c>
      <c r="J12">
        <v>2</v>
      </c>
      <c r="K12">
        <v>2</v>
      </c>
    </row>
    <row r="13" spans="1:23" x14ac:dyDescent="0.3">
      <c r="H13">
        <v>1</v>
      </c>
      <c r="I13">
        <v>1</v>
      </c>
      <c r="J13">
        <v>2</v>
      </c>
      <c r="K13">
        <v>2</v>
      </c>
      <c r="N13" s="5" t="s">
        <v>115</v>
      </c>
      <c r="O13" s="53" t="s">
        <v>90</v>
      </c>
      <c r="P13" s="53"/>
      <c r="Q13" s="53"/>
      <c r="R13" s="5"/>
      <c r="T13" s="9" t="s">
        <v>83</v>
      </c>
      <c r="U13" s="9" t="s">
        <v>84</v>
      </c>
      <c r="V13" s="9" t="s">
        <v>85</v>
      </c>
      <c r="W13" s="9" t="s">
        <v>86</v>
      </c>
    </row>
    <row r="14" spans="1:23" x14ac:dyDescent="0.3">
      <c r="H14">
        <v>1</v>
      </c>
      <c r="I14">
        <v>2</v>
      </c>
      <c r="J14">
        <v>1</v>
      </c>
      <c r="K14">
        <v>1</v>
      </c>
      <c r="N14" s="53" t="s">
        <v>89</v>
      </c>
      <c r="O14" s="5"/>
      <c r="P14" s="5" t="s">
        <v>87</v>
      </c>
      <c r="Q14" s="5" t="s">
        <v>56</v>
      </c>
      <c r="R14" s="5" t="s">
        <v>88</v>
      </c>
      <c r="T14" s="41">
        <f>P15/(P15+Q15)</f>
        <v>0.28000000000000003</v>
      </c>
      <c r="U14" s="41">
        <f>1-T14</f>
        <v>0.72</v>
      </c>
      <c r="V14" s="41">
        <f>Q16/(Q16+P16)</f>
        <v>0.21739130434782608</v>
      </c>
      <c r="W14" s="41">
        <f>1-V14</f>
        <v>0.78260869565217395</v>
      </c>
    </row>
    <row r="15" spans="1:23" x14ac:dyDescent="0.3">
      <c r="H15">
        <v>2</v>
      </c>
      <c r="I15">
        <v>1</v>
      </c>
      <c r="J15">
        <v>2</v>
      </c>
      <c r="K15">
        <v>2</v>
      </c>
      <c r="N15" s="53"/>
      <c r="O15" s="5" t="s">
        <v>87</v>
      </c>
      <c r="P15" s="7">
        <v>7</v>
      </c>
      <c r="Q15" s="7">
        <v>18</v>
      </c>
      <c r="R15" s="7">
        <f>P15+Q15</f>
        <v>25</v>
      </c>
    </row>
    <row r="16" spans="1:23" x14ac:dyDescent="0.3">
      <c r="H16">
        <v>2</v>
      </c>
      <c r="I16">
        <v>2</v>
      </c>
      <c r="J16">
        <v>1</v>
      </c>
      <c r="K16">
        <v>1</v>
      </c>
      <c r="N16" s="53"/>
      <c r="O16" s="5" t="s">
        <v>56</v>
      </c>
      <c r="P16" s="7">
        <v>18</v>
      </c>
      <c r="Q16" s="7">
        <v>5</v>
      </c>
      <c r="R16" s="7">
        <f>P16+Q16</f>
        <v>23</v>
      </c>
    </row>
    <row r="17" spans="1:23" x14ac:dyDescent="0.3">
      <c r="H17">
        <v>2</v>
      </c>
      <c r="I17">
        <v>1</v>
      </c>
      <c r="J17">
        <v>1</v>
      </c>
      <c r="K17">
        <v>1</v>
      </c>
      <c r="N17" s="5" t="s">
        <v>88</v>
      </c>
      <c r="O17" s="5"/>
      <c r="P17" s="7">
        <f>P15+P16</f>
        <v>25</v>
      </c>
      <c r="Q17" s="7">
        <f>Q15+Q16</f>
        <v>23</v>
      </c>
      <c r="R17" s="7">
        <f>R15+R16</f>
        <v>48</v>
      </c>
    </row>
    <row r="18" spans="1:23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1</v>
      </c>
      <c r="I18">
        <v>2</v>
      </c>
      <c r="J18">
        <v>2</v>
      </c>
      <c r="K18">
        <v>2</v>
      </c>
    </row>
    <row r="19" spans="1:23" x14ac:dyDescent="0.3">
      <c r="A19" s="54"/>
      <c r="B19" s="54"/>
      <c r="C19" s="69"/>
      <c r="D19" s="54"/>
      <c r="E19" s="54"/>
      <c r="F19" s="54"/>
      <c r="H19">
        <v>2</v>
      </c>
      <c r="I19">
        <v>1</v>
      </c>
      <c r="J19">
        <v>2</v>
      </c>
      <c r="K19">
        <v>1</v>
      </c>
      <c r="N19" s="5" t="s">
        <v>117</v>
      </c>
      <c r="O19" s="53" t="s">
        <v>90</v>
      </c>
      <c r="P19" s="53"/>
      <c r="Q19" s="53"/>
      <c r="R19" s="5"/>
      <c r="T19" s="9" t="s">
        <v>83</v>
      </c>
      <c r="U19" s="9" t="s">
        <v>84</v>
      </c>
      <c r="V19" s="9" t="s">
        <v>85</v>
      </c>
      <c r="W19" s="9" t="s">
        <v>86</v>
      </c>
    </row>
    <row r="20" spans="1:23" x14ac:dyDescent="0.3">
      <c r="A20" s="54"/>
      <c r="B20" s="54"/>
      <c r="C20" s="69"/>
      <c r="D20" s="54"/>
      <c r="E20" s="54"/>
      <c r="F20" s="54"/>
      <c r="H20">
        <v>1</v>
      </c>
      <c r="I20">
        <v>2</v>
      </c>
      <c r="J20">
        <v>1</v>
      </c>
      <c r="K20">
        <v>1</v>
      </c>
      <c r="N20" s="53" t="s">
        <v>89</v>
      </c>
      <c r="O20" s="5"/>
      <c r="P20" s="5" t="s">
        <v>87</v>
      </c>
      <c r="Q20" s="5" t="s">
        <v>56</v>
      </c>
      <c r="R20" s="5" t="s">
        <v>88</v>
      </c>
      <c r="T20" s="41">
        <f>P21/(P21+Q21)</f>
        <v>0.34615384615384615</v>
      </c>
      <c r="U20" s="41">
        <f>1-T20</f>
        <v>0.65384615384615385</v>
      </c>
      <c r="V20" s="40">
        <f>Q22/(Q22+P22)</f>
        <v>0.30769230769230771</v>
      </c>
      <c r="W20" s="40">
        <f>1-V20</f>
        <v>0.69230769230769229</v>
      </c>
    </row>
    <row r="21" spans="1:23" x14ac:dyDescent="0.3">
      <c r="A21" s="54"/>
      <c r="B21" s="54"/>
      <c r="C21" s="70"/>
      <c r="D21" s="54"/>
      <c r="E21" s="54"/>
      <c r="F21" s="54"/>
      <c r="H21">
        <v>2</v>
      </c>
      <c r="I21">
        <v>1</v>
      </c>
      <c r="J21">
        <v>2</v>
      </c>
      <c r="K21">
        <v>2</v>
      </c>
      <c r="N21" s="53"/>
      <c r="O21" s="5" t="s">
        <v>87</v>
      </c>
      <c r="P21" s="7">
        <v>9</v>
      </c>
      <c r="Q21" s="7">
        <v>17</v>
      </c>
      <c r="R21" s="7">
        <f>P21+Q21</f>
        <v>26</v>
      </c>
    </row>
    <row r="22" spans="1:23" x14ac:dyDescent="0.3">
      <c r="A22" s="37">
        <v>1</v>
      </c>
      <c r="B22" s="37">
        <v>90</v>
      </c>
      <c r="C22" s="40">
        <f>($C$4*$D$11*$A$11^0)+($D$3*$B$11*$C$11^0)</f>
        <v>88.424209770114942</v>
      </c>
      <c r="D22" s="37">
        <v>93.278999999999996</v>
      </c>
      <c r="E22" s="5" t="s">
        <v>125</v>
      </c>
      <c r="F22" s="5" t="s">
        <v>125</v>
      </c>
      <c r="H22">
        <v>2</v>
      </c>
      <c r="I22">
        <v>2</v>
      </c>
      <c r="J22">
        <v>1</v>
      </c>
      <c r="K22">
        <v>1</v>
      </c>
      <c r="N22" s="53"/>
      <c r="O22" s="5" t="s">
        <v>56</v>
      </c>
      <c r="P22" s="7">
        <v>18</v>
      </c>
      <c r="Q22" s="7">
        <v>8</v>
      </c>
      <c r="R22" s="7">
        <f>P22+Q22</f>
        <v>26</v>
      </c>
    </row>
    <row r="23" spans="1:23" x14ac:dyDescent="0.3">
      <c r="A23" s="37">
        <v>2</v>
      </c>
      <c r="B23" s="37">
        <v>25</v>
      </c>
      <c r="C23" s="40">
        <f>($C$4*$D$11*$A$11^1)+($D$3*$B$11*$C$11^1)</f>
        <v>27.113864942528735</v>
      </c>
      <c r="D23" s="37">
        <v>25.228999999999999</v>
      </c>
      <c r="E23" s="5" t="s">
        <v>125</v>
      </c>
      <c r="F23" s="5" t="s">
        <v>125</v>
      </c>
      <c r="H23">
        <v>1</v>
      </c>
      <c r="I23">
        <v>2</v>
      </c>
      <c r="J23">
        <v>2</v>
      </c>
      <c r="K23">
        <v>1</v>
      </c>
      <c r="N23" s="5" t="s">
        <v>88</v>
      </c>
      <c r="O23" s="5"/>
      <c r="P23" s="7">
        <f>P21+P22</f>
        <v>27</v>
      </c>
      <c r="Q23" s="7">
        <f>Q21+Q22</f>
        <v>25</v>
      </c>
      <c r="R23" s="7">
        <f>R21+R22</f>
        <v>52</v>
      </c>
    </row>
    <row r="24" spans="1:23" x14ac:dyDescent="0.3">
      <c r="A24" s="37">
        <v>3</v>
      </c>
      <c r="B24" s="37">
        <v>10</v>
      </c>
      <c r="C24" s="40">
        <f>($C$4*$D$11*$A$11^2)+($D$3*$B$11*$C$11^2)</f>
        <v>8.4527472255251688</v>
      </c>
      <c r="D24" s="37">
        <v>7.6070000000000002</v>
      </c>
      <c r="E24" s="37">
        <v>6</v>
      </c>
      <c r="F24" s="5">
        <v>4</v>
      </c>
      <c r="H24">
        <v>2</v>
      </c>
      <c r="I24">
        <v>1</v>
      </c>
      <c r="J24">
        <v>1</v>
      </c>
      <c r="K24">
        <v>2</v>
      </c>
    </row>
    <row r="25" spans="1:23" x14ac:dyDescent="0.3">
      <c r="A25" s="37">
        <v>4</v>
      </c>
      <c r="B25" s="37">
        <v>2</v>
      </c>
      <c r="C25" s="40">
        <f>($C$4*$D$11*$A$11^3)+($D$3*$B$11*$C$11^3)</f>
        <v>2.6762547494088866</v>
      </c>
      <c r="D25" s="37">
        <v>2.4119999999999999</v>
      </c>
      <c r="E25" s="5">
        <v>2</v>
      </c>
      <c r="F25" s="5">
        <v>0</v>
      </c>
      <c r="H25">
        <v>2</v>
      </c>
      <c r="I25">
        <v>2</v>
      </c>
      <c r="J25">
        <v>1</v>
      </c>
      <c r="K25">
        <v>2</v>
      </c>
    </row>
    <row r="26" spans="1:23" x14ac:dyDescent="0.3">
      <c r="A26" s="37">
        <v>5</v>
      </c>
      <c r="B26" s="37">
        <v>1</v>
      </c>
      <c r="C26" s="40">
        <f>($C$4*$D$11*$A$11^4)+($D$3*$B$11*$C$11^4)</f>
        <v>0.85932264464489128</v>
      </c>
      <c r="D26" s="37">
        <v>0.81200000000000006</v>
      </c>
      <c r="E26" s="5">
        <v>0</v>
      </c>
      <c r="F26" s="5">
        <v>1</v>
      </c>
      <c r="H26">
        <v>1</v>
      </c>
      <c r="I26">
        <v>1</v>
      </c>
      <c r="J26">
        <v>2</v>
      </c>
      <c r="K26">
        <v>1</v>
      </c>
    </row>
    <row r="27" spans="1:23" x14ac:dyDescent="0.3">
      <c r="A27" s="37">
        <v>6</v>
      </c>
      <c r="B27" s="37">
        <v>0</v>
      </c>
      <c r="C27" s="40">
        <f>($C$4*$D$11*$A$11^5)+($D$3*$B$11*$C$11^5)</f>
        <v>0.2793609144336755</v>
      </c>
      <c r="D27" s="37">
        <v>0.28399999999999997</v>
      </c>
      <c r="E27" s="5">
        <v>0</v>
      </c>
      <c r="F27" s="5">
        <v>0</v>
      </c>
      <c r="H27">
        <v>2</v>
      </c>
      <c r="I27">
        <v>1</v>
      </c>
      <c r="J27">
        <v>1</v>
      </c>
      <c r="K27">
        <v>2</v>
      </c>
    </row>
    <row r="28" spans="1:23" x14ac:dyDescent="0.3">
      <c r="A28" s="37">
        <v>7</v>
      </c>
      <c r="B28" s="37">
        <v>0</v>
      </c>
      <c r="C28" s="40">
        <f>($C$4*$D$11*$A$11^6)+($D$3*$B$11*$C$11^6)</f>
        <v>9.1792169195781315E-2</v>
      </c>
      <c r="D28" s="37">
        <v>9.0999999999999998E-2</v>
      </c>
      <c r="E28" s="5">
        <v>0</v>
      </c>
      <c r="F28" s="5">
        <v>0</v>
      </c>
      <c r="H28">
        <v>1</v>
      </c>
      <c r="I28">
        <v>2</v>
      </c>
      <c r="J28">
        <v>1</v>
      </c>
      <c r="K28">
        <v>1</v>
      </c>
    </row>
    <row r="29" spans="1:23" x14ac:dyDescent="0.3">
      <c r="A29" s="37">
        <v>8</v>
      </c>
      <c r="B29" s="37">
        <v>0</v>
      </c>
      <c r="C29" s="40">
        <f>($C$4*$D$11*$A$11^7)+($D$3*$B$11*$C$11^7)</f>
        <v>3.0433128985897215E-2</v>
      </c>
      <c r="D29" s="37">
        <v>2.7E-2</v>
      </c>
      <c r="E29" s="5">
        <v>0</v>
      </c>
      <c r="F29" s="5">
        <v>0</v>
      </c>
      <c r="H29">
        <v>2</v>
      </c>
      <c r="I29">
        <v>1</v>
      </c>
      <c r="J29">
        <v>1</v>
      </c>
      <c r="K29">
        <v>2</v>
      </c>
    </row>
    <row r="30" spans="1:23" x14ac:dyDescent="0.3">
      <c r="A30" s="37" t="s">
        <v>103</v>
      </c>
      <c r="B30" s="37">
        <v>0</v>
      </c>
      <c r="C30" s="40">
        <f>($C$4*$D$11*$A$11^8)+($D$3*$B$11*$C$11^8)</f>
        <v>1.0165182674781361E-2</v>
      </c>
      <c r="D30" s="37">
        <v>1.9E-2</v>
      </c>
      <c r="E30" s="5">
        <v>0</v>
      </c>
      <c r="F30" s="5">
        <v>0</v>
      </c>
      <c r="H30">
        <v>1</v>
      </c>
      <c r="I30">
        <v>1</v>
      </c>
      <c r="J30">
        <v>2</v>
      </c>
      <c r="K30">
        <v>1</v>
      </c>
    </row>
    <row r="31" spans="1:23" x14ac:dyDescent="0.3">
      <c r="H31">
        <v>2</v>
      </c>
      <c r="I31">
        <v>1</v>
      </c>
      <c r="J31">
        <v>1</v>
      </c>
      <c r="K31">
        <v>2</v>
      </c>
    </row>
    <row r="32" spans="1:23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1</v>
      </c>
      <c r="I32">
        <v>1</v>
      </c>
      <c r="J32">
        <v>2</v>
      </c>
      <c r="K32">
        <v>1</v>
      </c>
    </row>
    <row r="33" spans="1:11" x14ac:dyDescent="0.3">
      <c r="A33" s="53"/>
      <c r="B33" s="54"/>
      <c r="C33" s="54"/>
      <c r="D33" s="54"/>
      <c r="E33" s="54"/>
      <c r="F33" s="53"/>
      <c r="G33" s="53"/>
      <c r="H33">
        <v>1</v>
      </c>
      <c r="I33">
        <v>2</v>
      </c>
      <c r="J33">
        <v>1</v>
      </c>
      <c r="K33">
        <v>2</v>
      </c>
    </row>
    <row r="34" spans="1:11" x14ac:dyDescent="0.3">
      <c r="A34" s="5" t="s">
        <v>87</v>
      </c>
      <c r="B34" s="64">
        <f>E24+E25+E26+E27+E28+E29+E30</f>
        <v>8</v>
      </c>
      <c r="C34" s="65"/>
      <c r="D34" s="66">
        <f>E24*1+E25*2+E26*3+E27*4+E28*5+E29*6+E30*7</f>
        <v>10</v>
      </c>
      <c r="E34" s="67"/>
      <c r="F34" s="48">
        <f>B34/D34</f>
        <v>0.8</v>
      </c>
      <c r="G34" s="49">
        <f>F34</f>
        <v>0.8</v>
      </c>
      <c r="H34">
        <v>2</v>
      </c>
      <c r="I34">
        <v>1</v>
      </c>
      <c r="J34">
        <v>1</v>
      </c>
      <c r="K34">
        <v>1</v>
      </c>
    </row>
    <row r="35" spans="1:11" x14ac:dyDescent="0.3">
      <c r="A35" s="5" t="s">
        <v>56</v>
      </c>
      <c r="B35" s="64">
        <f>F24+F25+F26+F27+F28+F29+F30</f>
        <v>5</v>
      </c>
      <c r="C35" s="65"/>
      <c r="D35" s="66">
        <f>F24*1+F25*2+F26*3+F27*4+F28*5+F29*6+F30*7</f>
        <v>7</v>
      </c>
      <c r="E35" s="67"/>
      <c r="F35" s="48">
        <f>B35/D35</f>
        <v>0.7142857142857143</v>
      </c>
      <c r="G35" s="49">
        <f>F35</f>
        <v>0.7142857142857143</v>
      </c>
      <c r="H35">
        <v>2</v>
      </c>
      <c r="I35">
        <v>1</v>
      </c>
      <c r="J35">
        <v>2</v>
      </c>
      <c r="K35">
        <v>2</v>
      </c>
    </row>
    <row r="36" spans="1:11" x14ac:dyDescent="0.3">
      <c r="H36">
        <v>2</v>
      </c>
      <c r="I36">
        <v>2</v>
      </c>
      <c r="J36">
        <v>1</v>
      </c>
      <c r="K36">
        <v>1</v>
      </c>
    </row>
    <row r="37" spans="1:11" x14ac:dyDescent="0.3">
      <c r="H37">
        <v>2</v>
      </c>
      <c r="I37">
        <v>1</v>
      </c>
      <c r="J37">
        <v>2</v>
      </c>
      <c r="K37">
        <v>1</v>
      </c>
    </row>
    <row r="38" spans="1:11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2</v>
      </c>
      <c r="I38">
        <v>1</v>
      </c>
      <c r="J38">
        <v>2</v>
      </c>
      <c r="K38">
        <v>2</v>
      </c>
    </row>
    <row r="39" spans="1:11" x14ac:dyDescent="0.3">
      <c r="A39" s="80" t="s">
        <v>87</v>
      </c>
      <c r="B39" s="83">
        <v>8</v>
      </c>
      <c r="C39" s="83"/>
      <c r="D39" s="92">
        <v>33</v>
      </c>
      <c r="E39" s="92"/>
      <c r="F39" s="82">
        <f>SUM(B39+D39)</f>
        <v>41</v>
      </c>
      <c r="H39">
        <v>1</v>
      </c>
      <c r="I39">
        <v>1</v>
      </c>
      <c r="J39">
        <v>1</v>
      </c>
      <c r="K39">
        <v>2</v>
      </c>
    </row>
    <row r="40" spans="1:11" x14ac:dyDescent="0.3">
      <c r="A40" s="80" t="s">
        <v>56</v>
      </c>
      <c r="B40" s="83">
        <v>5</v>
      </c>
      <c r="C40" s="83"/>
      <c r="D40" s="92">
        <v>23</v>
      </c>
      <c r="E40" s="92"/>
      <c r="F40" s="82">
        <f>SUM(B40+D40)</f>
        <v>28</v>
      </c>
      <c r="H40">
        <v>1</v>
      </c>
      <c r="J40">
        <v>2</v>
      </c>
      <c r="K40">
        <v>2</v>
      </c>
    </row>
    <row r="41" spans="1:11" x14ac:dyDescent="0.3">
      <c r="A41" s="85"/>
      <c r="B41" s="86">
        <f>SUM(B39:B40)</f>
        <v>13</v>
      </c>
      <c r="C41" s="86"/>
      <c r="D41" s="87">
        <f>SUM(D39:D40)</f>
        <v>56</v>
      </c>
      <c r="E41" s="87"/>
      <c r="F41" s="82">
        <f>SUM(F39:F40)</f>
        <v>69</v>
      </c>
      <c r="H41">
        <v>2</v>
      </c>
      <c r="J41">
        <v>1</v>
      </c>
      <c r="K41">
        <v>1</v>
      </c>
    </row>
    <row r="42" spans="1:11" x14ac:dyDescent="0.3">
      <c r="A42" s="40"/>
      <c r="B42" s="84" t="s">
        <v>134</v>
      </c>
      <c r="C42" s="84"/>
      <c r="D42" s="84" t="s">
        <v>132</v>
      </c>
      <c r="E42" s="84"/>
      <c r="F42" s="73"/>
      <c r="H42">
        <v>2</v>
      </c>
      <c r="J42">
        <v>2</v>
      </c>
      <c r="K42">
        <v>2</v>
      </c>
    </row>
    <row r="43" spans="1:11" x14ac:dyDescent="0.3">
      <c r="A43" s="82" t="s">
        <v>87</v>
      </c>
      <c r="B43" s="81">
        <f>B41*F39/F41</f>
        <v>7.72463768115942</v>
      </c>
      <c r="C43" s="81"/>
      <c r="D43" s="81">
        <f>D41*F39/F41</f>
        <v>33.275362318840578</v>
      </c>
      <c r="E43" s="81"/>
      <c r="F43" s="73"/>
      <c r="H43">
        <v>1</v>
      </c>
      <c r="J43">
        <v>1</v>
      </c>
      <c r="K43">
        <v>1</v>
      </c>
    </row>
    <row r="44" spans="1:11" x14ac:dyDescent="0.3">
      <c r="A44" s="82" t="s">
        <v>56</v>
      </c>
      <c r="B44" s="81">
        <f>B41*F40/F41</f>
        <v>5.27536231884058</v>
      </c>
      <c r="C44" s="81"/>
      <c r="D44" s="81">
        <f>D41*F40/F41</f>
        <v>22.724637681159422</v>
      </c>
      <c r="E44" s="81"/>
      <c r="F44" s="73"/>
      <c r="H44">
        <v>2</v>
      </c>
      <c r="J44">
        <v>2</v>
      </c>
      <c r="K44">
        <v>2</v>
      </c>
    </row>
    <row r="45" spans="1:11" x14ac:dyDescent="0.3">
      <c r="A45" s="88"/>
      <c r="B45" s="88"/>
      <c r="C45" s="88"/>
      <c r="D45" s="88"/>
      <c r="E45" s="88"/>
      <c r="F45" s="73"/>
      <c r="H45">
        <v>1</v>
      </c>
      <c r="J45">
        <v>1</v>
      </c>
      <c r="K45">
        <v>2</v>
      </c>
    </row>
    <row r="46" spans="1:11" x14ac:dyDescent="0.3">
      <c r="A46" s="88" t="s">
        <v>135</v>
      </c>
      <c r="B46" s="89">
        <f>CHITEST(B39:E40,B43:E44)</f>
        <v>0.99864367594779146</v>
      </c>
      <c r="C46" s="88"/>
      <c r="D46" s="88"/>
      <c r="E46" s="88"/>
      <c r="F46" s="73"/>
      <c r="H46">
        <v>2</v>
      </c>
      <c r="J46">
        <v>2</v>
      </c>
      <c r="K46">
        <v>2</v>
      </c>
    </row>
    <row r="47" spans="1:11" x14ac:dyDescent="0.3">
      <c r="J47">
        <v>1</v>
      </c>
      <c r="K47">
        <v>1</v>
      </c>
    </row>
    <row r="48" spans="1:11" x14ac:dyDescent="0.3">
      <c r="J48">
        <v>1</v>
      </c>
      <c r="K48">
        <v>2</v>
      </c>
    </row>
    <row r="49" spans="10:11" x14ac:dyDescent="0.3">
      <c r="J49">
        <v>1</v>
      </c>
      <c r="K49">
        <v>1</v>
      </c>
    </row>
    <row r="50" spans="10:11" x14ac:dyDescent="0.3">
      <c r="K50">
        <v>1</v>
      </c>
    </row>
    <row r="51" spans="10:11" x14ac:dyDescent="0.3">
      <c r="K51">
        <v>2</v>
      </c>
    </row>
    <row r="52" spans="10:11" x14ac:dyDescent="0.3">
      <c r="K52">
        <v>1</v>
      </c>
    </row>
    <row r="53" spans="10:11" x14ac:dyDescent="0.3">
      <c r="K53">
        <v>1</v>
      </c>
    </row>
  </sheetData>
  <mergeCells count="40">
    <mergeCell ref="B44:C44"/>
    <mergeCell ref="D44:E44"/>
    <mergeCell ref="B41:C41"/>
    <mergeCell ref="D41:E41"/>
    <mergeCell ref="B42:C42"/>
    <mergeCell ref="D42:E42"/>
    <mergeCell ref="B43:C43"/>
    <mergeCell ref="D43:E43"/>
    <mergeCell ref="B38:C38"/>
    <mergeCell ref="D38:E38"/>
    <mergeCell ref="B39:C39"/>
    <mergeCell ref="D39:E39"/>
    <mergeCell ref="B40:C40"/>
    <mergeCell ref="D40:E40"/>
    <mergeCell ref="B34:C34"/>
    <mergeCell ref="D34:E34"/>
    <mergeCell ref="B35:C35"/>
    <mergeCell ref="D35:E35"/>
    <mergeCell ref="A32:A33"/>
    <mergeCell ref="B32:C33"/>
    <mergeCell ref="D32:E33"/>
    <mergeCell ref="F32:F33"/>
    <mergeCell ref="G32:G33"/>
    <mergeCell ref="N14:N16"/>
    <mergeCell ref="O19:Q19"/>
    <mergeCell ref="N20:N22"/>
    <mergeCell ref="O1:Q1"/>
    <mergeCell ref="N2:N4"/>
    <mergeCell ref="O7:Q7"/>
    <mergeCell ref="N8:N10"/>
    <mergeCell ref="O13:Q13"/>
    <mergeCell ref="B1:D1"/>
    <mergeCell ref="A2:A4"/>
    <mergeCell ref="E10:F12"/>
    <mergeCell ref="A18:A21"/>
    <mergeCell ref="B18:B21"/>
    <mergeCell ref="C18:C21"/>
    <mergeCell ref="D18:D21"/>
    <mergeCell ref="E18:E21"/>
    <mergeCell ref="F18:F21"/>
  </mergeCells>
  <conditionalFormatting sqref="H1:K53">
    <cfRule type="cellIs" dxfId="128" priority="5" operator="equal">
      <formula>1</formula>
    </cfRule>
    <cfRule type="cellIs" dxfId="127" priority="6" operator="equal">
      <formula>2</formula>
    </cfRule>
  </conditionalFormatting>
  <conditionalFormatting sqref="A43:B44 A45:E46 D42:D44 B42">
    <cfRule type="cellIs" dxfId="47" priority="1" operator="equal">
      <formula>1</formula>
    </cfRule>
    <cfRule type="cellIs" dxfId="46" priority="2" operator="equal">
      <formula>2</formula>
    </cfRule>
    <cfRule type="cellIs" dxfId="45" priority="3" operator="equal">
      <formula>1</formula>
    </cfRule>
    <cfRule type="cellIs" dxfId="44" priority="4" operator="equal">
      <formula>2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30D9-F552-404D-9F48-8B5867EE16AB}">
  <dimension ref="A1:W46"/>
  <sheetViews>
    <sheetView topLeftCell="A23" workbookViewId="0">
      <selection activeCell="B49" sqref="B49"/>
    </sheetView>
  </sheetViews>
  <sheetFormatPr defaultRowHeight="14.4" x14ac:dyDescent="0.3"/>
  <cols>
    <col min="3" max="3" width="10" customWidth="1"/>
  </cols>
  <sheetData>
    <row r="1" spans="1:23" x14ac:dyDescent="0.3">
      <c r="A1" s="5"/>
      <c r="B1" s="53" t="s">
        <v>90</v>
      </c>
      <c r="C1" s="53"/>
      <c r="D1" s="53"/>
      <c r="E1" s="5"/>
    </row>
    <row r="2" spans="1:23" ht="28.8" x14ac:dyDescent="0.3">
      <c r="A2" s="53" t="s">
        <v>89</v>
      </c>
      <c r="B2" s="5"/>
      <c r="C2" s="5" t="s">
        <v>87</v>
      </c>
      <c r="D2" s="37" t="s">
        <v>101</v>
      </c>
      <c r="E2" s="5" t="s">
        <v>88</v>
      </c>
    </row>
    <row r="3" spans="1:23" x14ac:dyDescent="0.3">
      <c r="A3" s="53"/>
      <c r="B3" s="5" t="s">
        <v>87</v>
      </c>
      <c r="C3" s="7">
        <v>51</v>
      </c>
      <c r="D3" s="7">
        <v>22</v>
      </c>
      <c r="E3" s="7">
        <f>C3+D3</f>
        <v>73</v>
      </c>
    </row>
    <row r="4" spans="1:23" ht="28.8" x14ac:dyDescent="0.3">
      <c r="A4" s="53"/>
      <c r="B4" s="37" t="s">
        <v>101</v>
      </c>
      <c r="C4" s="7">
        <v>24</v>
      </c>
      <c r="D4" s="7">
        <v>0</v>
      </c>
      <c r="E4" s="7">
        <f>C4+D4</f>
        <v>24</v>
      </c>
    </row>
    <row r="5" spans="1:23" x14ac:dyDescent="0.3">
      <c r="A5" s="5" t="s">
        <v>88</v>
      </c>
      <c r="B5" s="5"/>
      <c r="C5" s="7">
        <f>C3+C4</f>
        <v>75</v>
      </c>
      <c r="D5" s="7">
        <f>D3+D4</f>
        <v>22</v>
      </c>
      <c r="E5" s="7">
        <f>E3+E4</f>
        <v>97</v>
      </c>
      <c r="H5">
        <v>2</v>
      </c>
      <c r="I5">
        <v>1</v>
      </c>
      <c r="J5">
        <v>2</v>
      </c>
      <c r="N5" s="5" t="s">
        <v>113</v>
      </c>
      <c r="O5" s="53" t="s">
        <v>90</v>
      </c>
      <c r="P5" s="53"/>
      <c r="Q5" s="53"/>
      <c r="R5" s="5"/>
      <c r="T5" s="9" t="s">
        <v>83</v>
      </c>
      <c r="U5" s="9" t="s">
        <v>84</v>
      </c>
      <c r="V5" s="9" t="s">
        <v>85</v>
      </c>
      <c r="W5" s="9" t="s">
        <v>86</v>
      </c>
    </row>
    <row r="6" spans="1:23" x14ac:dyDescent="0.3">
      <c r="H6">
        <v>1</v>
      </c>
      <c r="I6">
        <v>1</v>
      </c>
      <c r="J6">
        <v>1</v>
      </c>
      <c r="N6" s="53" t="s">
        <v>89</v>
      </c>
      <c r="O6" s="5"/>
      <c r="P6" s="5" t="s">
        <v>87</v>
      </c>
      <c r="Q6" s="5" t="s">
        <v>122</v>
      </c>
      <c r="R6" s="5" t="s">
        <v>88</v>
      </c>
      <c r="T6" s="41">
        <f>P7/(P7+Q7)</f>
        <v>0.66666666666666663</v>
      </c>
      <c r="U6" s="41">
        <f>1-T6</f>
        <v>0.33333333333333337</v>
      </c>
      <c r="V6" s="41">
        <f>Q8/(Q8+P8)</f>
        <v>0</v>
      </c>
      <c r="W6" s="41">
        <f>1-V6</f>
        <v>1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1</v>
      </c>
      <c r="I7">
        <v>1</v>
      </c>
      <c r="J7">
        <v>2</v>
      </c>
      <c r="N7" s="53"/>
      <c r="O7" s="5" t="s">
        <v>87</v>
      </c>
      <c r="P7" s="7">
        <v>16</v>
      </c>
      <c r="Q7" s="7">
        <v>8</v>
      </c>
      <c r="R7" s="7">
        <f>P7+Q7</f>
        <v>24</v>
      </c>
      <c r="T7" t="s">
        <v>116</v>
      </c>
    </row>
    <row r="8" spans="1:23" x14ac:dyDescent="0.3">
      <c r="A8" s="8">
        <f>C3/C5</f>
        <v>0.68</v>
      </c>
      <c r="B8" s="8">
        <f>1-A8</f>
        <v>0.31999999999999995</v>
      </c>
      <c r="C8" s="8">
        <f>D4/E4</f>
        <v>0</v>
      </c>
      <c r="D8" s="8">
        <f>1-C8</f>
        <v>1</v>
      </c>
      <c r="H8">
        <v>1</v>
      </c>
      <c r="I8">
        <v>1</v>
      </c>
      <c r="J8">
        <v>1</v>
      </c>
      <c r="N8" s="53"/>
      <c r="O8" s="5" t="s">
        <v>122</v>
      </c>
      <c r="P8" s="7">
        <v>9</v>
      </c>
      <c r="Q8" s="7">
        <v>0</v>
      </c>
      <c r="R8" s="7">
        <f>P8+Q8</f>
        <v>9</v>
      </c>
    </row>
    <row r="9" spans="1:23" x14ac:dyDescent="0.3">
      <c r="H9">
        <v>2</v>
      </c>
      <c r="I9">
        <v>2</v>
      </c>
      <c r="J9">
        <v>1</v>
      </c>
      <c r="N9" s="5" t="s">
        <v>88</v>
      </c>
      <c r="O9" s="5"/>
      <c r="P9" s="7">
        <f>P7+P8</f>
        <v>25</v>
      </c>
      <c r="Q9" s="7">
        <f>Q7+Q8</f>
        <v>8</v>
      </c>
      <c r="R9" s="7">
        <f>R7+R8</f>
        <v>33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1</v>
      </c>
      <c r="I10">
        <v>1</v>
      </c>
      <c r="J10">
        <v>2</v>
      </c>
    </row>
    <row r="11" spans="1:23" x14ac:dyDescent="0.3">
      <c r="A11" s="43">
        <f>C3/E3</f>
        <v>0.69863013698630139</v>
      </c>
      <c r="B11" s="43">
        <f>1-A11</f>
        <v>0.30136986301369861</v>
      </c>
      <c r="C11" s="43">
        <f>D4/E4</f>
        <v>0</v>
      </c>
      <c r="D11" s="43">
        <f>1-C11</f>
        <v>1</v>
      </c>
      <c r="E11" s="59"/>
      <c r="F11" s="59"/>
      <c r="H11">
        <v>1</v>
      </c>
      <c r="I11">
        <v>1</v>
      </c>
      <c r="J11">
        <v>1</v>
      </c>
      <c r="N11" s="5" t="s">
        <v>114</v>
      </c>
      <c r="O11" s="53" t="s">
        <v>90</v>
      </c>
      <c r="P11" s="53"/>
      <c r="Q11" s="53"/>
      <c r="R11" s="5"/>
      <c r="T11" s="9" t="s">
        <v>83</v>
      </c>
      <c r="U11" s="9" t="s">
        <v>84</v>
      </c>
      <c r="V11" s="9" t="s">
        <v>85</v>
      </c>
      <c r="W11" s="9" t="s">
        <v>86</v>
      </c>
    </row>
    <row r="12" spans="1:23" x14ac:dyDescent="0.3">
      <c r="E12" s="59"/>
      <c r="F12" s="59"/>
      <c r="H12">
        <v>1</v>
      </c>
      <c r="I12">
        <v>1</v>
      </c>
      <c r="J12">
        <v>1</v>
      </c>
      <c r="N12" s="53" t="s">
        <v>89</v>
      </c>
      <c r="O12" s="5"/>
      <c r="P12" s="5" t="s">
        <v>87</v>
      </c>
      <c r="Q12" s="5" t="s">
        <v>122</v>
      </c>
      <c r="R12" s="5" t="s">
        <v>88</v>
      </c>
      <c r="T12" s="41">
        <f>P13/(P13+Q13)</f>
        <v>0.64</v>
      </c>
      <c r="U12" s="41">
        <f>1-T12</f>
        <v>0.36</v>
      </c>
      <c r="V12" s="41">
        <f>Q14/(Q14+P14)</f>
        <v>0</v>
      </c>
      <c r="W12" s="41">
        <f>1-V12</f>
        <v>1</v>
      </c>
    </row>
    <row r="13" spans="1:23" x14ac:dyDescent="0.3">
      <c r="H13">
        <v>1</v>
      </c>
      <c r="I13">
        <v>2</v>
      </c>
      <c r="J13">
        <v>1</v>
      </c>
      <c r="N13" s="53"/>
      <c r="O13" s="5" t="s">
        <v>87</v>
      </c>
      <c r="P13" s="7">
        <v>16</v>
      </c>
      <c r="Q13" s="7">
        <v>9</v>
      </c>
      <c r="R13" s="7">
        <f>P13+Q13</f>
        <v>25</v>
      </c>
    </row>
    <row r="14" spans="1:23" x14ac:dyDescent="0.3">
      <c r="H14">
        <v>2</v>
      </c>
      <c r="I14">
        <v>1</v>
      </c>
      <c r="J14">
        <v>1</v>
      </c>
      <c r="N14" s="53"/>
      <c r="O14" s="5" t="s">
        <v>122</v>
      </c>
      <c r="P14" s="7">
        <v>9</v>
      </c>
      <c r="Q14" s="7">
        <v>0</v>
      </c>
      <c r="R14" s="7">
        <f>P14+Q14</f>
        <v>9</v>
      </c>
    </row>
    <row r="15" spans="1:23" x14ac:dyDescent="0.3">
      <c r="H15">
        <v>1</v>
      </c>
      <c r="I15">
        <v>1</v>
      </c>
      <c r="J15">
        <v>1</v>
      </c>
      <c r="N15" s="5" t="s">
        <v>88</v>
      </c>
      <c r="O15" s="5"/>
      <c r="P15" s="7">
        <f>P13+P14</f>
        <v>25</v>
      </c>
      <c r="Q15" s="7">
        <f>Q13+Q14</f>
        <v>9</v>
      </c>
      <c r="R15" s="7">
        <f>R13+R14</f>
        <v>34</v>
      </c>
    </row>
    <row r="16" spans="1:23" x14ac:dyDescent="0.3">
      <c r="H16">
        <v>1</v>
      </c>
      <c r="I16">
        <v>1</v>
      </c>
      <c r="J16">
        <v>1</v>
      </c>
    </row>
    <row r="17" spans="1:23" x14ac:dyDescent="0.3">
      <c r="H17">
        <v>1</v>
      </c>
      <c r="I17">
        <v>1</v>
      </c>
      <c r="J17">
        <v>1</v>
      </c>
      <c r="N17" s="5" t="s">
        <v>115</v>
      </c>
      <c r="O17" s="53" t="s">
        <v>90</v>
      </c>
      <c r="P17" s="53"/>
      <c r="Q17" s="53"/>
      <c r="R17" s="5"/>
      <c r="T17" s="9" t="s">
        <v>83</v>
      </c>
      <c r="U17" s="9" t="s">
        <v>84</v>
      </c>
      <c r="V17" s="9" t="s">
        <v>85</v>
      </c>
      <c r="W17" s="9" t="s">
        <v>86</v>
      </c>
    </row>
    <row r="18" spans="1:23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1</v>
      </c>
      <c r="I18">
        <v>1</v>
      </c>
      <c r="J18">
        <v>1</v>
      </c>
      <c r="N18" s="53" t="s">
        <v>89</v>
      </c>
      <c r="O18" s="5"/>
      <c r="P18" s="5" t="s">
        <v>87</v>
      </c>
      <c r="Q18" s="5" t="s">
        <v>122</v>
      </c>
      <c r="R18" s="5" t="s">
        <v>88</v>
      </c>
      <c r="T18" s="41">
        <f>P19/(P19+Q19)</f>
        <v>0.79166666666666663</v>
      </c>
      <c r="U18" s="41">
        <f>1-T18</f>
        <v>0.20833333333333337</v>
      </c>
      <c r="V18" s="41">
        <f>Q20/(Q20+P20)</f>
        <v>0</v>
      </c>
      <c r="W18" s="41">
        <f>1-V18</f>
        <v>1</v>
      </c>
    </row>
    <row r="19" spans="1:23" x14ac:dyDescent="0.3">
      <c r="A19" s="54"/>
      <c r="B19" s="54"/>
      <c r="C19" s="69"/>
      <c r="D19" s="54"/>
      <c r="E19" s="54"/>
      <c r="F19" s="54"/>
      <c r="H19">
        <v>2</v>
      </c>
      <c r="I19">
        <v>2</v>
      </c>
      <c r="J19">
        <v>1</v>
      </c>
      <c r="N19" s="53"/>
      <c r="O19" s="5" t="s">
        <v>87</v>
      </c>
      <c r="P19" s="7">
        <v>19</v>
      </c>
      <c r="Q19" s="7">
        <v>5</v>
      </c>
      <c r="R19" s="7">
        <f>P19+Q19</f>
        <v>24</v>
      </c>
    </row>
    <row r="20" spans="1:23" x14ac:dyDescent="0.3">
      <c r="A20" s="54"/>
      <c r="B20" s="54"/>
      <c r="C20" s="69"/>
      <c r="D20" s="54"/>
      <c r="E20" s="54"/>
      <c r="F20" s="54"/>
      <c r="H20">
        <v>1</v>
      </c>
      <c r="I20">
        <v>1</v>
      </c>
      <c r="J20">
        <v>2</v>
      </c>
      <c r="N20" s="53"/>
      <c r="O20" s="5" t="s">
        <v>122</v>
      </c>
      <c r="P20" s="7">
        <v>6</v>
      </c>
      <c r="Q20" s="7">
        <v>0</v>
      </c>
      <c r="R20" s="7">
        <f>P20+Q20</f>
        <v>6</v>
      </c>
    </row>
    <row r="21" spans="1:23" x14ac:dyDescent="0.3">
      <c r="A21" s="54"/>
      <c r="B21" s="54"/>
      <c r="C21" s="70"/>
      <c r="D21" s="54"/>
      <c r="E21" s="54"/>
      <c r="F21" s="54"/>
      <c r="H21">
        <v>2</v>
      </c>
      <c r="I21">
        <v>2</v>
      </c>
      <c r="J21">
        <v>1</v>
      </c>
      <c r="N21" s="5" t="s">
        <v>88</v>
      </c>
      <c r="O21" s="5"/>
      <c r="P21" s="7">
        <f>P19+P20</f>
        <v>25</v>
      </c>
      <c r="Q21" s="7">
        <f>Q19+Q20</f>
        <v>5</v>
      </c>
      <c r="R21" s="7">
        <f>R19+R20</f>
        <v>30</v>
      </c>
    </row>
    <row r="22" spans="1:23" x14ac:dyDescent="0.3">
      <c r="A22" s="37">
        <v>1</v>
      </c>
      <c r="B22" s="37">
        <v>31</v>
      </c>
      <c r="C22" s="45">
        <f>($C$4*$D$11*$A$11^0)+($D$3*$B$11*1)</f>
        <v>30.63013698630137</v>
      </c>
      <c r="D22" s="37">
        <v>29.664000000000001</v>
      </c>
      <c r="E22" s="5" t="s">
        <v>125</v>
      </c>
      <c r="F22" s="5" t="s">
        <v>125</v>
      </c>
      <c r="H22">
        <v>1</v>
      </c>
      <c r="I22">
        <v>1</v>
      </c>
      <c r="J22">
        <v>1</v>
      </c>
    </row>
    <row r="23" spans="1:23" x14ac:dyDescent="0.3">
      <c r="A23" s="37">
        <v>2</v>
      </c>
      <c r="B23" s="37">
        <v>3</v>
      </c>
      <c r="C23" s="40">
        <f>($C$4*$D$11*$A$11^1)+($D$3*$B$11*0^1)</f>
        <v>16.767123287671232</v>
      </c>
      <c r="D23" s="37">
        <v>5.4219999999999997</v>
      </c>
      <c r="E23" s="5" t="s">
        <v>125</v>
      </c>
      <c r="F23" s="5" t="s">
        <v>125</v>
      </c>
      <c r="H23">
        <v>2</v>
      </c>
      <c r="I23">
        <v>2</v>
      </c>
      <c r="J23">
        <v>1</v>
      </c>
    </row>
    <row r="24" spans="1:23" x14ac:dyDescent="0.3">
      <c r="A24" s="37">
        <v>3</v>
      </c>
      <c r="B24" s="37">
        <v>5</v>
      </c>
      <c r="C24" s="40">
        <f>($C$4*$D$11*$A$11^2)+($D$3*$B$11*0)</f>
        <v>11.714017639331956</v>
      </c>
      <c r="D24" s="37">
        <v>3.806</v>
      </c>
      <c r="E24" s="37">
        <v>5</v>
      </c>
      <c r="F24" s="5">
        <v>0</v>
      </c>
      <c r="H24">
        <v>1</v>
      </c>
      <c r="I24">
        <v>1</v>
      </c>
      <c r="J24">
        <v>1</v>
      </c>
    </row>
    <row r="25" spans="1:23" x14ac:dyDescent="0.3">
      <c r="A25" s="37">
        <v>4</v>
      </c>
      <c r="B25" s="37">
        <v>2</v>
      </c>
      <c r="C25" s="40">
        <f>($C$4*$D$11*$A$11^3)+($D$3*$B$11*$C$11^3)</f>
        <v>8.1837657480264365</v>
      </c>
      <c r="D25" s="37">
        <v>2.6160000000000001</v>
      </c>
      <c r="E25" s="5">
        <v>2</v>
      </c>
      <c r="F25" s="5">
        <v>0</v>
      </c>
      <c r="H25">
        <v>1</v>
      </c>
      <c r="I25">
        <v>1</v>
      </c>
      <c r="J25">
        <v>1</v>
      </c>
    </row>
    <row r="26" spans="1:23" x14ac:dyDescent="0.3">
      <c r="A26" s="37">
        <v>5</v>
      </c>
      <c r="B26" s="37">
        <v>3</v>
      </c>
      <c r="C26" s="40">
        <f>($C$4*$D$11*$A$11^4)+($D$3*$B$11*$C$11^4)</f>
        <v>5.7174253856075099</v>
      </c>
      <c r="D26" s="37">
        <v>1.673</v>
      </c>
      <c r="E26" s="5">
        <v>3</v>
      </c>
      <c r="F26" s="5">
        <v>0</v>
      </c>
      <c r="H26">
        <v>2</v>
      </c>
      <c r="I26">
        <v>2</v>
      </c>
      <c r="J26">
        <v>2</v>
      </c>
    </row>
    <row r="27" spans="1:23" x14ac:dyDescent="0.3">
      <c r="A27" s="37">
        <v>6</v>
      </c>
      <c r="B27" s="37">
        <v>1</v>
      </c>
      <c r="C27" s="40">
        <f>($C$4*$D$11*$A$11^5)+($D$3*$B$11*$C$11^5)</f>
        <v>3.9943656803559318</v>
      </c>
      <c r="D27" s="37">
        <v>1.264</v>
      </c>
      <c r="E27" s="5">
        <v>1</v>
      </c>
      <c r="F27" s="5">
        <v>0</v>
      </c>
      <c r="H27">
        <v>1</v>
      </c>
      <c r="I27">
        <v>1</v>
      </c>
      <c r="J27">
        <v>1</v>
      </c>
    </row>
    <row r="28" spans="1:23" x14ac:dyDescent="0.3">
      <c r="A28" s="37">
        <v>7</v>
      </c>
      <c r="B28" s="37">
        <v>1</v>
      </c>
      <c r="C28" s="40">
        <f>($C$4*$D$11*$A$11^6)+($D$3*$B$11*$C$11^6)</f>
        <v>2.7905842424404455</v>
      </c>
      <c r="D28" s="37">
        <v>0.77100000000000002</v>
      </c>
      <c r="E28" s="5">
        <v>1</v>
      </c>
      <c r="F28" s="5">
        <v>0</v>
      </c>
      <c r="H28">
        <v>1</v>
      </c>
      <c r="I28">
        <v>2</v>
      </c>
      <c r="J28">
        <v>1</v>
      </c>
    </row>
    <row r="29" spans="1:23" x14ac:dyDescent="0.3">
      <c r="A29" s="37">
        <v>8</v>
      </c>
      <c r="B29" s="37">
        <v>0</v>
      </c>
      <c r="C29" s="40">
        <f>($C$4*$D$11*$A$11^7)+($D$3*$B$11*$C$11^7)</f>
        <v>1.9495862515679825</v>
      </c>
      <c r="D29" s="37">
        <v>0.53300000000000003</v>
      </c>
      <c r="E29" s="5">
        <v>0</v>
      </c>
      <c r="F29" s="5">
        <v>0</v>
      </c>
      <c r="H29">
        <v>1</v>
      </c>
      <c r="I29">
        <v>1</v>
      </c>
      <c r="J29">
        <v>1</v>
      </c>
    </row>
    <row r="30" spans="1:23" x14ac:dyDescent="0.3">
      <c r="A30" s="37" t="s">
        <v>103</v>
      </c>
      <c r="B30" s="37">
        <v>1</v>
      </c>
      <c r="C30" s="40">
        <f>($C$4*$D$11*$A$11^8)+($D$3*$B$11*$C$11^8)</f>
        <v>1.3620397099995494</v>
      </c>
      <c r="D30" s="37">
        <v>0.84899999999999998</v>
      </c>
      <c r="E30" s="5">
        <v>1</v>
      </c>
      <c r="F30" s="5">
        <v>0</v>
      </c>
      <c r="H30">
        <v>2</v>
      </c>
      <c r="I30">
        <v>1</v>
      </c>
      <c r="J30">
        <v>1</v>
      </c>
    </row>
    <row r="31" spans="1:23" x14ac:dyDescent="0.3">
      <c r="H31">
        <v>1</v>
      </c>
      <c r="I31">
        <v>1</v>
      </c>
      <c r="J31">
        <v>1</v>
      </c>
    </row>
    <row r="32" spans="1:23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1</v>
      </c>
      <c r="I32">
        <v>1</v>
      </c>
      <c r="J32">
        <v>1</v>
      </c>
    </row>
    <row r="33" spans="1:10" x14ac:dyDescent="0.3">
      <c r="A33" s="53"/>
      <c r="B33" s="54"/>
      <c r="C33" s="54"/>
      <c r="D33" s="54"/>
      <c r="E33" s="54"/>
      <c r="F33" s="53"/>
      <c r="G33" s="53"/>
      <c r="H33">
        <v>1</v>
      </c>
      <c r="I33">
        <v>1</v>
      </c>
      <c r="J33">
        <v>1</v>
      </c>
    </row>
    <row r="34" spans="1:10" x14ac:dyDescent="0.3">
      <c r="A34" s="5" t="s">
        <v>87</v>
      </c>
      <c r="B34" s="64">
        <f>E24+E25+E26+E27+E28+E29+E30</f>
        <v>13</v>
      </c>
      <c r="C34" s="65"/>
      <c r="D34" s="66">
        <f>E24*1+E25*2+E26*3+E27*4+E28*5+E29*6+E30*7</f>
        <v>34</v>
      </c>
      <c r="E34" s="67"/>
      <c r="F34" s="48">
        <f>B34/D34</f>
        <v>0.38235294117647056</v>
      </c>
      <c r="G34" s="49">
        <f>F34</f>
        <v>0.38235294117647056</v>
      </c>
      <c r="H34">
        <v>1</v>
      </c>
      <c r="I34">
        <v>2</v>
      </c>
      <c r="J34">
        <v>2</v>
      </c>
    </row>
    <row r="35" spans="1:10" x14ac:dyDescent="0.3">
      <c r="A35" s="5" t="s">
        <v>122</v>
      </c>
      <c r="B35" s="64">
        <f>F24+F25+F26+F27+F28+F29+F30</f>
        <v>0</v>
      </c>
      <c r="C35" s="65"/>
      <c r="D35" s="66">
        <f>F24*1+F25*2+F26*3+F27*4+F28*5+F29*6+F30*7</f>
        <v>0</v>
      </c>
      <c r="E35" s="67"/>
      <c r="F35" s="48" t="e">
        <f>B35/D35</f>
        <v>#DIV/0!</v>
      </c>
      <c r="G35" s="49" t="e">
        <f>F35</f>
        <v>#DIV/0!</v>
      </c>
      <c r="H35">
        <v>1</v>
      </c>
      <c r="I35">
        <v>1</v>
      </c>
      <c r="J35">
        <v>1</v>
      </c>
    </row>
    <row r="36" spans="1:10" x14ac:dyDescent="0.3">
      <c r="H36">
        <v>1</v>
      </c>
      <c r="I36">
        <v>2</v>
      </c>
    </row>
    <row r="37" spans="1:10" x14ac:dyDescent="0.3">
      <c r="H37">
        <v>2</v>
      </c>
      <c r="I37">
        <v>1</v>
      </c>
    </row>
    <row r="38" spans="1:10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1</v>
      </c>
      <c r="I38">
        <v>1</v>
      </c>
    </row>
    <row r="39" spans="1:10" x14ac:dyDescent="0.3">
      <c r="A39" s="80" t="s">
        <v>87</v>
      </c>
      <c r="B39" s="83">
        <v>13</v>
      </c>
      <c r="C39" s="83"/>
      <c r="D39" s="92">
        <v>51</v>
      </c>
      <c r="E39" s="92"/>
      <c r="F39" s="82">
        <f>SUM(B39+D39)</f>
        <v>64</v>
      </c>
      <c r="I39">
        <v>1</v>
      </c>
    </row>
    <row r="40" spans="1:10" x14ac:dyDescent="0.3">
      <c r="A40" s="80" t="s">
        <v>122</v>
      </c>
      <c r="B40" s="83">
        <v>0</v>
      </c>
      <c r="C40" s="83"/>
      <c r="D40" s="92">
        <v>0</v>
      </c>
      <c r="E40" s="92"/>
      <c r="F40" s="82">
        <f>SUM(B40+D40)</f>
        <v>0</v>
      </c>
    </row>
    <row r="41" spans="1:10" x14ac:dyDescent="0.3">
      <c r="A41" s="85"/>
      <c r="B41" s="86">
        <f>SUM(B39:B40)</f>
        <v>13</v>
      </c>
      <c r="C41" s="86"/>
      <c r="D41" s="87">
        <f>SUM(D39:D40)</f>
        <v>51</v>
      </c>
      <c r="E41" s="87"/>
      <c r="F41" s="82">
        <f>SUM(F39:F40)</f>
        <v>64</v>
      </c>
    </row>
    <row r="42" spans="1:10" x14ac:dyDescent="0.3">
      <c r="A42" s="40"/>
      <c r="B42" s="84" t="s">
        <v>134</v>
      </c>
      <c r="C42" s="84"/>
      <c r="D42" s="84" t="s">
        <v>132</v>
      </c>
      <c r="E42" s="84"/>
      <c r="F42" s="73"/>
    </row>
    <row r="43" spans="1:10" x14ac:dyDescent="0.3">
      <c r="A43" s="82" t="s">
        <v>87</v>
      </c>
      <c r="B43" s="81">
        <f>B41*F39/F41</f>
        <v>13</v>
      </c>
      <c r="C43" s="81"/>
      <c r="D43" s="81">
        <f>D41*F39/F41</f>
        <v>51</v>
      </c>
      <c r="E43" s="81"/>
      <c r="F43" s="73"/>
    </row>
    <row r="44" spans="1:10" x14ac:dyDescent="0.3">
      <c r="A44" s="82" t="s">
        <v>122</v>
      </c>
      <c r="B44" s="81">
        <f>B41*F40/F41</f>
        <v>0</v>
      </c>
      <c r="C44" s="81"/>
      <c r="D44" s="81">
        <f>D41*F40/F41</f>
        <v>0</v>
      </c>
      <c r="E44" s="81"/>
      <c r="F44" s="73"/>
    </row>
    <row r="45" spans="1:10" x14ac:dyDescent="0.3">
      <c r="A45" s="88"/>
      <c r="B45" s="88"/>
      <c r="C45" s="88"/>
      <c r="D45" s="88"/>
      <c r="E45" s="88"/>
      <c r="F45" s="73"/>
    </row>
    <row r="46" spans="1:10" x14ac:dyDescent="0.3">
      <c r="A46" s="88" t="s">
        <v>135</v>
      </c>
      <c r="B46" s="89" t="e">
        <f>CHITEST(B39:E40,B43:E44)</f>
        <v>#DIV/0!</v>
      </c>
      <c r="C46" s="88"/>
      <c r="D46" s="88"/>
      <c r="E46" s="88"/>
      <c r="F46" s="73"/>
    </row>
  </sheetData>
  <mergeCells count="38">
    <mergeCell ref="B44:C44"/>
    <mergeCell ref="D44:E44"/>
    <mergeCell ref="B41:C41"/>
    <mergeCell ref="D41:E41"/>
    <mergeCell ref="B42:C42"/>
    <mergeCell ref="D42:E42"/>
    <mergeCell ref="B43:C43"/>
    <mergeCell ref="D43:E43"/>
    <mergeCell ref="B38:C38"/>
    <mergeCell ref="D38:E38"/>
    <mergeCell ref="B39:C39"/>
    <mergeCell ref="D39:E39"/>
    <mergeCell ref="B40:C40"/>
    <mergeCell ref="D40:E40"/>
    <mergeCell ref="B34:C34"/>
    <mergeCell ref="D34:E34"/>
    <mergeCell ref="B35:C35"/>
    <mergeCell ref="D35:E35"/>
    <mergeCell ref="A32:A33"/>
    <mergeCell ref="B32:C33"/>
    <mergeCell ref="D32:E33"/>
    <mergeCell ref="F32:F33"/>
    <mergeCell ref="G32:G33"/>
    <mergeCell ref="N18:N20"/>
    <mergeCell ref="O5:Q5"/>
    <mergeCell ref="N6:N8"/>
    <mergeCell ref="O11:Q11"/>
    <mergeCell ref="N12:N14"/>
    <mergeCell ref="O17:Q17"/>
    <mergeCell ref="B1:D1"/>
    <mergeCell ref="A2:A4"/>
    <mergeCell ref="E10:F12"/>
    <mergeCell ref="A18:A21"/>
    <mergeCell ref="B18:B21"/>
    <mergeCell ref="C18:C21"/>
    <mergeCell ref="D18:D21"/>
    <mergeCell ref="E18:E21"/>
    <mergeCell ref="F18:F21"/>
  </mergeCells>
  <conditionalFormatting sqref="H5:J39">
    <cfRule type="cellIs" dxfId="126" priority="5" operator="equal">
      <formula>1</formula>
    </cfRule>
    <cfRule type="cellIs" dxfId="125" priority="6" operator="equal">
      <formula>2</formula>
    </cfRule>
  </conditionalFormatting>
  <conditionalFormatting sqref="A43:B44 A45:E46 D42:D44 B42">
    <cfRule type="cellIs" dxfId="43" priority="1" operator="equal">
      <formula>1</formula>
    </cfRule>
    <cfRule type="cellIs" dxfId="42" priority="2" operator="equal">
      <formula>2</formula>
    </cfRule>
    <cfRule type="cellIs" dxfId="41" priority="3" operator="equal">
      <formula>1</formula>
    </cfRule>
    <cfRule type="cellIs" dxfId="40" priority="4" operator="equal">
      <formula>2</formula>
    </cfRule>
  </conditionalFormatting>
  <pageMargins left="0.7" right="0.7" top="0.75" bottom="0.75" header="0.3" footer="0.3"/>
  <ignoredErrors>
    <ignoredError sqref="C11" 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53DD-F044-4051-98D4-E43E4D7BFF39}">
  <dimension ref="A1:W46"/>
  <sheetViews>
    <sheetView topLeftCell="A24" workbookViewId="0">
      <selection activeCell="E48" sqref="E48"/>
    </sheetView>
  </sheetViews>
  <sheetFormatPr defaultRowHeight="14.4" x14ac:dyDescent="0.3"/>
  <cols>
    <col min="3" max="3" width="9.88671875" customWidth="1"/>
  </cols>
  <sheetData>
    <row r="1" spans="1:23" x14ac:dyDescent="0.3">
      <c r="A1" s="5"/>
      <c r="B1" s="53" t="s">
        <v>90</v>
      </c>
      <c r="C1" s="53"/>
      <c r="D1" s="53"/>
      <c r="E1" s="5"/>
    </row>
    <row r="2" spans="1:23" ht="43.2" x14ac:dyDescent="0.3">
      <c r="A2" s="53" t="s">
        <v>89</v>
      </c>
      <c r="B2" s="5"/>
      <c r="C2" s="5" t="s">
        <v>87</v>
      </c>
      <c r="D2" s="38" t="s">
        <v>60</v>
      </c>
      <c r="E2" s="5" t="s">
        <v>88</v>
      </c>
    </row>
    <row r="3" spans="1:23" x14ac:dyDescent="0.3">
      <c r="A3" s="53"/>
      <c r="B3" s="5" t="s">
        <v>87</v>
      </c>
      <c r="C3" s="7">
        <v>47</v>
      </c>
      <c r="D3" s="7">
        <v>26</v>
      </c>
      <c r="E3" s="7">
        <f>C3+D3</f>
        <v>73</v>
      </c>
    </row>
    <row r="4" spans="1:23" ht="43.2" x14ac:dyDescent="0.3">
      <c r="A4" s="53"/>
      <c r="B4" s="38" t="s">
        <v>60</v>
      </c>
      <c r="C4" s="7">
        <v>28</v>
      </c>
      <c r="D4" s="7">
        <v>3</v>
      </c>
      <c r="E4" s="7">
        <f>C4+D4</f>
        <v>31</v>
      </c>
    </row>
    <row r="5" spans="1:23" x14ac:dyDescent="0.3">
      <c r="A5" s="5" t="s">
        <v>88</v>
      </c>
      <c r="B5" s="5"/>
      <c r="C5" s="7">
        <f>C3+C4</f>
        <v>75</v>
      </c>
      <c r="D5" s="7">
        <f>D3+D4</f>
        <v>29</v>
      </c>
      <c r="E5" s="7">
        <f>E3+E4</f>
        <v>104</v>
      </c>
      <c r="H5">
        <v>2</v>
      </c>
      <c r="I5">
        <v>1</v>
      </c>
      <c r="J5">
        <v>2</v>
      </c>
      <c r="N5" s="5" t="s">
        <v>113</v>
      </c>
      <c r="O5" s="53" t="s">
        <v>90</v>
      </c>
      <c r="P5" s="53"/>
      <c r="Q5" s="53"/>
      <c r="R5" s="5"/>
      <c r="T5" s="9" t="s">
        <v>83</v>
      </c>
      <c r="U5" s="9" t="s">
        <v>84</v>
      </c>
      <c r="V5" s="9" t="s">
        <v>85</v>
      </c>
      <c r="W5" s="9" t="s">
        <v>86</v>
      </c>
    </row>
    <row r="6" spans="1:23" x14ac:dyDescent="0.3">
      <c r="H6">
        <v>1</v>
      </c>
      <c r="I6">
        <v>1</v>
      </c>
      <c r="J6">
        <v>1</v>
      </c>
      <c r="N6" s="53" t="s">
        <v>89</v>
      </c>
      <c r="O6" s="5"/>
      <c r="P6" s="5" t="s">
        <v>87</v>
      </c>
      <c r="Q6" s="5" t="s">
        <v>123</v>
      </c>
      <c r="R6" s="5" t="s">
        <v>88</v>
      </c>
      <c r="T6" s="41">
        <f>P7/(P7+Q7)</f>
        <v>0.66666666666666663</v>
      </c>
      <c r="U6" s="41">
        <f>1-T6</f>
        <v>0.33333333333333337</v>
      </c>
      <c r="V6" s="41">
        <f>Q8/(Q8+P8)</f>
        <v>0</v>
      </c>
      <c r="W6" s="41">
        <f>1-V6</f>
        <v>1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2</v>
      </c>
      <c r="I7">
        <v>1</v>
      </c>
      <c r="J7">
        <v>1</v>
      </c>
      <c r="N7" s="53"/>
      <c r="O7" s="5" t="s">
        <v>87</v>
      </c>
      <c r="P7" s="7">
        <v>16</v>
      </c>
      <c r="Q7" s="7">
        <v>8</v>
      </c>
      <c r="R7" s="7">
        <f>P7+Q7</f>
        <v>24</v>
      </c>
      <c r="T7" t="s">
        <v>116</v>
      </c>
    </row>
    <row r="8" spans="1:23" x14ac:dyDescent="0.3">
      <c r="A8" s="8">
        <f>C3/C5</f>
        <v>0.62666666666666671</v>
      </c>
      <c r="B8" s="8">
        <f>1-A8</f>
        <v>0.37333333333333329</v>
      </c>
      <c r="C8" s="8">
        <f>D4/E4</f>
        <v>9.6774193548387094E-2</v>
      </c>
      <c r="D8" s="8">
        <f>1-C8</f>
        <v>0.90322580645161288</v>
      </c>
      <c r="H8">
        <v>1</v>
      </c>
      <c r="I8">
        <v>1</v>
      </c>
      <c r="J8">
        <v>1</v>
      </c>
      <c r="N8" s="53"/>
      <c r="O8" s="5" t="s">
        <v>123</v>
      </c>
      <c r="P8" s="7">
        <v>9</v>
      </c>
      <c r="Q8" s="7">
        <v>0</v>
      </c>
      <c r="R8" s="7">
        <f>P8+Q8</f>
        <v>9</v>
      </c>
    </row>
    <row r="9" spans="1:23" x14ac:dyDescent="0.3">
      <c r="H9">
        <v>1</v>
      </c>
      <c r="I9">
        <v>2</v>
      </c>
      <c r="J9">
        <v>1</v>
      </c>
      <c r="N9" s="5" t="s">
        <v>88</v>
      </c>
      <c r="O9" s="5"/>
      <c r="P9" s="7">
        <f>P7+P8</f>
        <v>25</v>
      </c>
      <c r="Q9" s="7">
        <f>Q7+Q8</f>
        <v>8</v>
      </c>
      <c r="R9" s="7">
        <f>R7+R8</f>
        <v>33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2</v>
      </c>
      <c r="I10">
        <v>2</v>
      </c>
      <c r="J10">
        <v>2</v>
      </c>
    </row>
    <row r="11" spans="1:23" x14ac:dyDescent="0.3">
      <c r="A11" s="43">
        <f>C3/E3</f>
        <v>0.64383561643835618</v>
      </c>
      <c r="B11" s="43">
        <f>1-A11</f>
        <v>0.35616438356164382</v>
      </c>
      <c r="C11" s="43">
        <f>D4/E4</f>
        <v>9.6774193548387094E-2</v>
      </c>
      <c r="D11" s="43">
        <f>1-C11</f>
        <v>0.90322580645161288</v>
      </c>
      <c r="E11" s="59"/>
      <c r="F11" s="59"/>
      <c r="H11">
        <v>1</v>
      </c>
      <c r="I11">
        <v>1</v>
      </c>
      <c r="J11">
        <v>1</v>
      </c>
      <c r="N11" s="5" t="s">
        <v>114</v>
      </c>
      <c r="O11" s="53" t="s">
        <v>90</v>
      </c>
      <c r="P11" s="53"/>
      <c r="Q11" s="53"/>
      <c r="R11" s="5"/>
      <c r="T11" s="9" t="s">
        <v>83</v>
      </c>
      <c r="U11" s="9" t="s">
        <v>84</v>
      </c>
      <c r="V11" s="9" t="s">
        <v>85</v>
      </c>
      <c r="W11" s="9" t="s">
        <v>86</v>
      </c>
    </row>
    <row r="12" spans="1:23" x14ac:dyDescent="0.3">
      <c r="E12" s="59"/>
      <c r="F12" s="59"/>
      <c r="H12">
        <v>1</v>
      </c>
      <c r="I12">
        <v>1</v>
      </c>
      <c r="J12">
        <v>2</v>
      </c>
      <c r="N12" s="53" t="s">
        <v>89</v>
      </c>
      <c r="O12" s="5"/>
      <c r="P12" s="5" t="s">
        <v>87</v>
      </c>
      <c r="Q12" s="5" t="s">
        <v>123</v>
      </c>
      <c r="R12" s="5" t="s">
        <v>88</v>
      </c>
      <c r="T12" s="41">
        <f>P13/(P13+Q13)</f>
        <v>0.72</v>
      </c>
      <c r="U12" s="41">
        <f>1-T12</f>
        <v>0.28000000000000003</v>
      </c>
      <c r="V12" s="41">
        <f>Q14/(Q14+P14)</f>
        <v>0.3</v>
      </c>
      <c r="W12" s="41">
        <f>1-V12</f>
        <v>0.7</v>
      </c>
    </row>
    <row r="13" spans="1:23" x14ac:dyDescent="0.3">
      <c r="H13">
        <v>1</v>
      </c>
      <c r="I13">
        <v>1</v>
      </c>
      <c r="J13">
        <v>1</v>
      </c>
      <c r="N13" s="53"/>
      <c r="O13" s="5" t="s">
        <v>87</v>
      </c>
      <c r="P13" s="7">
        <v>18</v>
      </c>
      <c r="Q13" s="7">
        <v>7</v>
      </c>
      <c r="R13" s="7">
        <f>P13+Q13</f>
        <v>25</v>
      </c>
    </row>
    <row r="14" spans="1:23" x14ac:dyDescent="0.3">
      <c r="H14">
        <v>1</v>
      </c>
      <c r="I14">
        <v>2</v>
      </c>
      <c r="J14">
        <v>1</v>
      </c>
      <c r="N14" s="53"/>
      <c r="O14" s="5" t="s">
        <v>123</v>
      </c>
      <c r="P14" s="7">
        <v>7</v>
      </c>
      <c r="Q14" s="7">
        <v>3</v>
      </c>
      <c r="R14" s="7">
        <f>P14+Q14</f>
        <v>10</v>
      </c>
    </row>
    <row r="15" spans="1:23" x14ac:dyDescent="0.3">
      <c r="H15">
        <v>2</v>
      </c>
      <c r="I15">
        <v>1</v>
      </c>
      <c r="J15">
        <v>1</v>
      </c>
      <c r="N15" s="5" t="s">
        <v>88</v>
      </c>
      <c r="O15" s="5"/>
      <c r="P15" s="7">
        <f>P13+P14</f>
        <v>25</v>
      </c>
      <c r="Q15" s="7">
        <f>Q13+Q14</f>
        <v>10</v>
      </c>
      <c r="R15" s="7">
        <f>R13+R14</f>
        <v>35</v>
      </c>
    </row>
    <row r="16" spans="1:23" x14ac:dyDescent="0.3">
      <c r="H16">
        <v>1</v>
      </c>
      <c r="I16">
        <v>1</v>
      </c>
      <c r="J16">
        <v>2</v>
      </c>
    </row>
    <row r="17" spans="1:23" x14ac:dyDescent="0.3">
      <c r="H17">
        <v>2</v>
      </c>
      <c r="I17">
        <v>2</v>
      </c>
      <c r="J17">
        <v>1</v>
      </c>
      <c r="N17" s="5" t="s">
        <v>115</v>
      </c>
      <c r="O17" s="53" t="s">
        <v>90</v>
      </c>
      <c r="P17" s="53"/>
      <c r="Q17" s="53"/>
      <c r="R17" s="5"/>
      <c r="T17" s="9" t="s">
        <v>83</v>
      </c>
      <c r="U17" s="9" t="s">
        <v>84</v>
      </c>
      <c r="V17" s="9" t="s">
        <v>85</v>
      </c>
      <c r="W17" s="9" t="s">
        <v>86</v>
      </c>
    </row>
    <row r="18" spans="1:23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1</v>
      </c>
      <c r="I18">
        <v>1</v>
      </c>
      <c r="J18">
        <v>2</v>
      </c>
      <c r="N18" s="53" t="s">
        <v>89</v>
      </c>
      <c r="O18" s="5"/>
      <c r="P18" s="5" t="s">
        <v>87</v>
      </c>
      <c r="Q18" s="5" t="s">
        <v>123</v>
      </c>
      <c r="R18" s="5" t="s">
        <v>88</v>
      </c>
      <c r="T18" s="41">
        <f>P19/(P19+Q19)</f>
        <v>0.54166666666666663</v>
      </c>
      <c r="U18" s="41">
        <f>1-T18</f>
        <v>0.45833333333333337</v>
      </c>
      <c r="V18" s="41">
        <f>Q20/(Q20+P20)</f>
        <v>0</v>
      </c>
      <c r="W18" s="41">
        <f>1-V18</f>
        <v>1</v>
      </c>
    </row>
    <row r="19" spans="1:23" x14ac:dyDescent="0.3">
      <c r="A19" s="54"/>
      <c r="B19" s="54"/>
      <c r="C19" s="69"/>
      <c r="D19" s="54"/>
      <c r="E19" s="54"/>
      <c r="F19" s="54"/>
      <c r="H19">
        <v>1</v>
      </c>
      <c r="I19">
        <v>1</v>
      </c>
      <c r="J19">
        <v>1</v>
      </c>
      <c r="N19" s="53"/>
      <c r="O19" s="5" t="s">
        <v>87</v>
      </c>
      <c r="P19" s="7">
        <v>13</v>
      </c>
      <c r="Q19" s="7">
        <v>11</v>
      </c>
      <c r="R19" s="7">
        <f>P19+Q19</f>
        <v>24</v>
      </c>
    </row>
    <row r="20" spans="1:23" x14ac:dyDescent="0.3">
      <c r="A20" s="54"/>
      <c r="B20" s="54"/>
      <c r="C20" s="69"/>
      <c r="D20" s="54"/>
      <c r="E20" s="54"/>
      <c r="F20" s="54"/>
      <c r="H20">
        <v>1</v>
      </c>
      <c r="I20">
        <v>1</v>
      </c>
      <c r="J20">
        <v>2</v>
      </c>
      <c r="N20" s="53"/>
      <c r="O20" s="5" t="s">
        <v>123</v>
      </c>
      <c r="P20" s="7">
        <v>12</v>
      </c>
      <c r="Q20" s="7">
        <v>0</v>
      </c>
      <c r="R20" s="7">
        <f>P20+Q20</f>
        <v>12</v>
      </c>
    </row>
    <row r="21" spans="1:23" x14ac:dyDescent="0.3">
      <c r="A21" s="54"/>
      <c r="B21" s="54"/>
      <c r="C21" s="70"/>
      <c r="D21" s="54"/>
      <c r="E21" s="54"/>
      <c r="F21" s="54"/>
      <c r="H21">
        <v>2</v>
      </c>
      <c r="I21">
        <v>1</v>
      </c>
      <c r="J21">
        <v>1</v>
      </c>
      <c r="N21" s="5" t="s">
        <v>88</v>
      </c>
      <c r="O21" s="5"/>
      <c r="P21" s="7">
        <f>P19+P20</f>
        <v>25</v>
      </c>
      <c r="Q21" s="7">
        <f>Q19+Q20</f>
        <v>11</v>
      </c>
      <c r="R21" s="7">
        <f>R19+R20</f>
        <v>36</v>
      </c>
    </row>
    <row r="22" spans="1:23" x14ac:dyDescent="0.3">
      <c r="A22" s="37">
        <v>1</v>
      </c>
      <c r="B22" s="37">
        <v>34</v>
      </c>
      <c r="C22" s="40">
        <f>($C$4*$D$11*$A$11^0)+($D$3*$B$11*$C$11^0)</f>
        <v>34.5505965532479</v>
      </c>
      <c r="D22" s="37">
        <v>34.902999999999999</v>
      </c>
      <c r="E22" s="5" t="s">
        <v>125</v>
      </c>
      <c r="F22" s="5" t="s">
        <v>125</v>
      </c>
      <c r="H22">
        <v>1</v>
      </c>
      <c r="I22">
        <v>1</v>
      </c>
      <c r="J22">
        <v>2</v>
      </c>
    </row>
    <row r="23" spans="1:23" x14ac:dyDescent="0.3">
      <c r="A23" s="37">
        <v>2</v>
      </c>
      <c r="B23" s="37">
        <v>10</v>
      </c>
      <c r="C23" s="40">
        <f>($C$4*$D$11*$A$11^1)+($D$3*$B$11*$C$11^1)</f>
        <v>17.178965974370303</v>
      </c>
      <c r="D23" s="37">
        <v>8.1170000000000009</v>
      </c>
      <c r="E23" s="5" t="s">
        <v>125</v>
      </c>
      <c r="F23" s="5" t="s">
        <v>125</v>
      </c>
      <c r="H23">
        <v>2</v>
      </c>
      <c r="I23">
        <v>1</v>
      </c>
      <c r="J23">
        <v>1</v>
      </c>
    </row>
    <row r="24" spans="1:23" x14ac:dyDescent="0.3">
      <c r="A24" s="37">
        <v>3</v>
      </c>
      <c r="B24" s="37">
        <v>5</v>
      </c>
      <c r="C24" s="40">
        <f>($C$4*$D$11*$A$11^2)+($D$3*$B$11*$C$11^2)</f>
        <v>10.570178019901316</v>
      </c>
      <c r="D24" s="37">
        <v>4.6849999999999996</v>
      </c>
      <c r="E24" s="37">
        <v>5</v>
      </c>
      <c r="F24" s="5">
        <v>0</v>
      </c>
      <c r="H24">
        <v>1</v>
      </c>
      <c r="I24">
        <v>1</v>
      </c>
      <c r="J24">
        <v>1</v>
      </c>
    </row>
    <row r="25" spans="1:23" x14ac:dyDescent="0.3">
      <c r="A25" s="37">
        <v>4</v>
      </c>
      <c r="B25" s="37">
        <v>2</v>
      </c>
      <c r="C25" s="40">
        <f>($C$4*$D$11*$A$11^3)+($D$3*$B$11*$C$11^3)</f>
        <v>6.7580133269855907</v>
      </c>
      <c r="D25" s="37">
        <v>2.8540000000000001</v>
      </c>
      <c r="E25" s="5">
        <v>2</v>
      </c>
      <c r="F25" s="5">
        <v>0</v>
      </c>
      <c r="H25">
        <v>1</v>
      </c>
      <c r="I25">
        <v>2</v>
      </c>
      <c r="J25">
        <v>1</v>
      </c>
    </row>
    <row r="26" spans="1:23" x14ac:dyDescent="0.3">
      <c r="A26" s="37">
        <v>5</v>
      </c>
      <c r="B26" s="37">
        <v>1</v>
      </c>
      <c r="C26" s="40">
        <f>($C$4*$D$11*$A$11^4)+($D$3*$B$11*$C$11^4)</f>
        <v>4.3464583452150976</v>
      </c>
      <c r="D26" s="37">
        <v>1.7010000000000001</v>
      </c>
      <c r="E26" s="5">
        <v>1</v>
      </c>
      <c r="F26" s="5">
        <v>0</v>
      </c>
      <c r="H26">
        <v>1</v>
      </c>
      <c r="I26">
        <v>1</v>
      </c>
      <c r="J26">
        <v>1</v>
      </c>
    </row>
    <row r="27" spans="1:23" x14ac:dyDescent="0.3">
      <c r="A27" s="37">
        <v>6</v>
      </c>
      <c r="B27" s="37">
        <v>1</v>
      </c>
      <c r="C27" s="40">
        <f>($C$4*$D$11*$A$11^5)+($D$3*$B$11*$C$11^5)</f>
        <v>2.797960365654236</v>
      </c>
      <c r="D27" s="37">
        <v>1.0549999999999999</v>
      </c>
      <c r="E27" s="5">
        <v>1</v>
      </c>
      <c r="F27" s="5">
        <v>0</v>
      </c>
      <c r="H27">
        <v>1</v>
      </c>
      <c r="I27">
        <v>1</v>
      </c>
      <c r="J27">
        <v>1</v>
      </c>
    </row>
    <row r="28" spans="1:23" x14ac:dyDescent="0.3">
      <c r="A28" s="37">
        <v>7</v>
      </c>
      <c r="B28" s="37">
        <v>1</v>
      </c>
      <c r="C28" s="40">
        <f>($C$4*$D$11*$A$11^6)+($D$3*$B$11*$C$11^6)</f>
        <v>1.8013835378529255</v>
      </c>
      <c r="D28" s="37">
        <v>0.63200000000000001</v>
      </c>
      <c r="E28" s="5">
        <v>1</v>
      </c>
      <c r="F28" s="5">
        <v>0</v>
      </c>
      <c r="H28">
        <v>1</v>
      </c>
      <c r="I28">
        <v>1</v>
      </c>
      <c r="J28">
        <v>1</v>
      </c>
    </row>
    <row r="29" spans="1:23" x14ac:dyDescent="0.3">
      <c r="A29" s="37">
        <v>8</v>
      </c>
      <c r="B29" s="37">
        <v>0</v>
      </c>
      <c r="C29" s="40">
        <f>($C$4*$D$11*$A$11^7)+($D$3*$B$11*$C$11^7)</f>
        <v>1.1597907193478816</v>
      </c>
      <c r="D29" s="37">
        <v>0.34499999999999997</v>
      </c>
      <c r="E29" s="5">
        <v>0</v>
      </c>
      <c r="F29" s="5">
        <v>0</v>
      </c>
      <c r="H29">
        <v>1</v>
      </c>
      <c r="I29">
        <v>1</v>
      </c>
      <c r="J29">
        <v>2</v>
      </c>
    </row>
    <row r="30" spans="1:23" x14ac:dyDescent="0.3">
      <c r="A30" s="37" t="s">
        <v>103</v>
      </c>
      <c r="B30" s="37">
        <v>1</v>
      </c>
      <c r="C30" s="40">
        <f>($C$4*$D$11*$A$11^8)+($D$3*$B$11*$C$11^8)</f>
        <v>0.74671417003525731</v>
      </c>
      <c r="D30" s="37">
        <v>0.52300000000000002</v>
      </c>
      <c r="E30" s="5">
        <v>1</v>
      </c>
      <c r="F30" s="5">
        <v>0</v>
      </c>
      <c r="H30">
        <v>1</v>
      </c>
      <c r="I30">
        <v>1</v>
      </c>
      <c r="J30">
        <v>1</v>
      </c>
    </row>
    <row r="31" spans="1:23" x14ac:dyDescent="0.3">
      <c r="H31">
        <v>1</v>
      </c>
      <c r="I31">
        <v>2</v>
      </c>
      <c r="J31">
        <v>1</v>
      </c>
    </row>
    <row r="32" spans="1:23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1</v>
      </c>
      <c r="I32">
        <v>2</v>
      </c>
      <c r="J32">
        <v>2</v>
      </c>
    </row>
    <row r="33" spans="1:10" x14ac:dyDescent="0.3">
      <c r="A33" s="53"/>
      <c r="B33" s="54"/>
      <c r="C33" s="54"/>
      <c r="D33" s="54"/>
      <c r="E33" s="54"/>
      <c r="F33" s="53"/>
      <c r="G33" s="53"/>
      <c r="H33">
        <v>2</v>
      </c>
      <c r="I33">
        <v>1</v>
      </c>
      <c r="J33">
        <v>1</v>
      </c>
    </row>
    <row r="34" spans="1:10" x14ac:dyDescent="0.3">
      <c r="A34" s="5" t="s">
        <v>87</v>
      </c>
      <c r="B34" s="64">
        <f>E24+E25+E26+E27+E28+E29+E30</f>
        <v>11</v>
      </c>
      <c r="C34" s="65"/>
      <c r="D34" s="66">
        <f>E24*1+E25*2+E26*3+E27*4+E28*5+E29*6+E30*7</f>
        <v>28</v>
      </c>
      <c r="E34" s="67"/>
      <c r="F34" s="48">
        <f>B34/D34</f>
        <v>0.39285714285714285</v>
      </c>
      <c r="G34" s="49">
        <f>F34</f>
        <v>0.39285714285714285</v>
      </c>
      <c r="H34">
        <v>1</v>
      </c>
      <c r="I34">
        <v>1</v>
      </c>
      <c r="J34">
        <v>2</v>
      </c>
    </row>
    <row r="35" spans="1:10" x14ac:dyDescent="0.3">
      <c r="A35" s="5" t="s">
        <v>123</v>
      </c>
      <c r="B35" s="64">
        <f>F24+F25+F26+F27+F28+F29+F30</f>
        <v>0</v>
      </c>
      <c r="C35" s="65"/>
      <c r="D35" s="66">
        <f>F24*1+F25*2+F26*3+F27*4+F28*5+F29*6+F30*7</f>
        <v>0</v>
      </c>
      <c r="E35" s="67"/>
      <c r="F35" s="48" t="e">
        <f>B35/D35</f>
        <v>#DIV/0!</v>
      </c>
      <c r="G35" s="49" t="e">
        <f>F35</f>
        <v>#DIV/0!</v>
      </c>
      <c r="H35">
        <v>1</v>
      </c>
      <c r="I35">
        <v>2</v>
      </c>
      <c r="J35">
        <v>1</v>
      </c>
    </row>
    <row r="36" spans="1:10" x14ac:dyDescent="0.3">
      <c r="H36">
        <v>1</v>
      </c>
      <c r="I36">
        <v>2</v>
      </c>
      <c r="J36">
        <v>1</v>
      </c>
    </row>
    <row r="37" spans="1:10" x14ac:dyDescent="0.3">
      <c r="H37">
        <v>2</v>
      </c>
      <c r="I37">
        <v>1</v>
      </c>
      <c r="J37">
        <v>2</v>
      </c>
    </row>
    <row r="38" spans="1:10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1</v>
      </c>
      <c r="I38">
        <v>2</v>
      </c>
      <c r="J38">
        <v>1</v>
      </c>
    </row>
    <row r="39" spans="1:10" x14ac:dyDescent="0.3">
      <c r="A39" s="80" t="s">
        <v>87</v>
      </c>
      <c r="B39" s="83">
        <v>11</v>
      </c>
      <c r="C39" s="83"/>
      <c r="D39" s="92">
        <v>47</v>
      </c>
      <c r="E39" s="92"/>
      <c r="F39" s="82">
        <f>SUM(B39+D39)</f>
        <v>58</v>
      </c>
      <c r="I39">
        <v>1</v>
      </c>
      <c r="J39">
        <v>2</v>
      </c>
    </row>
    <row r="40" spans="1:10" x14ac:dyDescent="0.3">
      <c r="A40" s="80" t="s">
        <v>123</v>
      </c>
      <c r="B40" s="83">
        <v>0</v>
      </c>
      <c r="C40" s="83"/>
      <c r="D40" s="92">
        <v>3</v>
      </c>
      <c r="E40" s="92"/>
      <c r="F40" s="82">
        <f>SUM(B40+D40)</f>
        <v>3</v>
      </c>
      <c r="I40">
        <v>1</v>
      </c>
      <c r="J40">
        <v>1</v>
      </c>
    </row>
    <row r="41" spans="1:10" x14ac:dyDescent="0.3">
      <c r="A41" s="85"/>
      <c r="B41" s="86">
        <f>SUM(B39:B40)</f>
        <v>11</v>
      </c>
      <c r="C41" s="86"/>
      <c r="D41" s="87">
        <f>SUM(D39:D40)</f>
        <v>50</v>
      </c>
      <c r="E41" s="87"/>
      <c r="F41" s="82">
        <f>SUM(F39:F40)</f>
        <v>61</v>
      </c>
      <c r="J41">
        <v>1</v>
      </c>
    </row>
    <row r="42" spans="1:10" x14ac:dyDescent="0.3">
      <c r="A42" s="40"/>
      <c r="B42" s="84" t="s">
        <v>134</v>
      </c>
      <c r="C42" s="84"/>
      <c r="D42" s="84" t="s">
        <v>132</v>
      </c>
      <c r="E42" s="84"/>
      <c r="F42" s="73"/>
    </row>
    <row r="43" spans="1:10" x14ac:dyDescent="0.3">
      <c r="A43" s="82" t="s">
        <v>87</v>
      </c>
      <c r="B43" s="81">
        <f>B41*F39/F41</f>
        <v>10.459016393442623</v>
      </c>
      <c r="C43" s="81"/>
      <c r="D43" s="81">
        <f>D41*F39/F41</f>
        <v>47.540983606557376</v>
      </c>
      <c r="E43" s="81"/>
      <c r="F43" s="73"/>
    </row>
    <row r="44" spans="1:10" x14ac:dyDescent="0.3">
      <c r="A44" s="82" t="s">
        <v>123</v>
      </c>
      <c r="B44" s="81">
        <f>B41*F40/F41</f>
        <v>0.54098360655737709</v>
      </c>
      <c r="C44" s="81"/>
      <c r="D44" s="81">
        <f>D41*F40/F41</f>
        <v>2.459016393442623</v>
      </c>
      <c r="E44" s="81"/>
      <c r="F44" s="73"/>
    </row>
    <row r="45" spans="1:10" x14ac:dyDescent="0.3">
      <c r="A45" s="88"/>
      <c r="B45" s="88"/>
      <c r="C45" s="88"/>
      <c r="D45" s="88"/>
      <c r="E45" s="88"/>
      <c r="F45" s="73"/>
    </row>
    <row r="46" spans="1:10" x14ac:dyDescent="0.3">
      <c r="A46" s="88" t="s">
        <v>135</v>
      </c>
      <c r="B46" s="89">
        <f>CHITEST(B39:E40,B43:E44)</f>
        <v>0.87458189332401548</v>
      </c>
      <c r="C46" s="88"/>
      <c r="D46" s="88"/>
      <c r="E46" s="88"/>
      <c r="F46" s="73"/>
    </row>
  </sheetData>
  <mergeCells count="38">
    <mergeCell ref="B44:C44"/>
    <mergeCell ref="D44:E44"/>
    <mergeCell ref="B41:C41"/>
    <mergeCell ref="D41:E41"/>
    <mergeCell ref="B42:C42"/>
    <mergeCell ref="D42:E42"/>
    <mergeCell ref="B43:C43"/>
    <mergeCell ref="D43:E43"/>
    <mergeCell ref="B38:C38"/>
    <mergeCell ref="D38:E38"/>
    <mergeCell ref="B39:C39"/>
    <mergeCell ref="D39:E39"/>
    <mergeCell ref="B40:C40"/>
    <mergeCell ref="D40:E40"/>
    <mergeCell ref="B34:C34"/>
    <mergeCell ref="D34:E34"/>
    <mergeCell ref="B35:C35"/>
    <mergeCell ref="D35:E35"/>
    <mergeCell ref="A32:A33"/>
    <mergeCell ref="B32:C33"/>
    <mergeCell ref="D32:E33"/>
    <mergeCell ref="F32:F33"/>
    <mergeCell ref="G32:G33"/>
    <mergeCell ref="N12:N14"/>
    <mergeCell ref="O17:Q17"/>
    <mergeCell ref="N18:N20"/>
    <mergeCell ref="E10:F12"/>
    <mergeCell ref="F18:F21"/>
    <mergeCell ref="A18:A21"/>
    <mergeCell ref="B18:B21"/>
    <mergeCell ref="C18:C21"/>
    <mergeCell ref="D18:D21"/>
    <mergeCell ref="E18:E21"/>
    <mergeCell ref="B1:D1"/>
    <mergeCell ref="A2:A4"/>
    <mergeCell ref="O5:Q5"/>
    <mergeCell ref="N6:N8"/>
    <mergeCell ref="O11:Q11"/>
  </mergeCells>
  <conditionalFormatting sqref="H5:J41">
    <cfRule type="cellIs" dxfId="124" priority="5" operator="equal">
      <formula>1</formula>
    </cfRule>
    <cfRule type="cellIs" dxfId="123" priority="6" operator="equal">
      <formula>2</formula>
    </cfRule>
  </conditionalFormatting>
  <conditionalFormatting sqref="A43:B44 A45:E46 D42:D44 B42">
    <cfRule type="cellIs" dxfId="39" priority="1" operator="equal">
      <formula>1</formula>
    </cfRule>
    <cfRule type="cellIs" dxfId="38" priority="2" operator="equal">
      <formula>2</formula>
    </cfRule>
    <cfRule type="cellIs" dxfId="37" priority="3" operator="equal">
      <formula>1</formula>
    </cfRule>
    <cfRule type="cellIs" dxfId="36" priority="4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4ECB3-45DA-43B6-B045-F66307CF6A11}">
  <dimension ref="A1:W58"/>
  <sheetViews>
    <sheetView tabSelected="1" topLeftCell="A31" workbookViewId="0">
      <selection activeCell="C48" sqref="C48"/>
    </sheetView>
  </sheetViews>
  <sheetFormatPr defaultRowHeight="14.4" x14ac:dyDescent="0.3"/>
  <cols>
    <col min="3" max="3" width="16" bestFit="1" customWidth="1"/>
    <col min="9" max="9" width="13.5546875" bestFit="1" customWidth="1"/>
  </cols>
  <sheetData>
    <row r="1" spans="1:23" x14ac:dyDescent="0.3">
      <c r="A1" s="5"/>
      <c r="B1" s="53" t="s">
        <v>90</v>
      </c>
      <c r="C1" s="53"/>
      <c r="D1" s="53"/>
      <c r="E1" s="5"/>
      <c r="H1">
        <v>2</v>
      </c>
      <c r="I1">
        <v>1</v>
      </c>
      <c r="J1">
        <v>2</v>
      </c>
      <c r="N1" s="5" t="s">
        <v>113</v>
      </c>
      <c r="O1" s="53" t="s">
        <v>90</v>
      </c>
      <c r="P1" s="53"/>
      <c r="Q1" s="53"/>
      <c r="R1" s="5"/>
      <c r="T1" s="9" t="s">
        <v>83</v>
      </c>
      <c r="U1" s="9" t="s">
        <v>84</v>
      </c>
      <c r="V1" s="9" t="s">
        <v>85</v>
      </c>
      <c r="W1" s="9" t="s">
        <v>86</v>
      </c>
    </row>
    <row r="2" spans="1:23" x14ac:dyDescent="0.3">
      <c r="A2" s="53" t="s">
        <v>89</v>
      </c>
      <c r="B2" s="5"/>
      <c r="C2" s="5" t="s">
        <v>87</v>
      </c>
      <c r="D2" s="5" t="s">
        <v>14</v>
      </c>
      <c r="E2" s="5" t="s">
        <v>88</v>
      </c>
      <c r="H2">
        <v>2</v>
      </c>
      <c r="I2">
        <v>2</v>
      </c>
      <c r="J2">
        <v>1</v>
      </c>
      <c r="N2" s="53" t="s">
        <v>89</v>
      </c>
      <c r="O2" s="5"/>
      <c r="P2" s="5" t="s">
        <v>87</v>
      </c>
      <c r="Q2" s="5" t="s">
        <v>14</v>
      </c>
      <c r="R2" s="5" t="s">
        <v>88</v>
      </c>
      <c r="T2" s="40">
        <f>P3/(P3+Q3)</f>
        <v>0.58333333333333337</v>
      </c>
      <c r="U2" s="40">
        <f>1-T2</f>
        <v>0.41666666666666663</v>
      </c>
      <c r="V2" s="40">
        <f>Q4/(Q4+P4)</f>
        <v>0.15384615384615385</v>
      </c>
      <c r="W2" s="40">
        <f>1-V2</f>
        <v>0.84615384615384615</v>
      </c>
    </row>
    <row r="3" spans="1:23" x14ac:dyDescent="0.3">
      <c r="A3" s="53"/>
      <c r="B3" s="5" t="s">
        <v>87</v>
      </c>
      <c r="C3" s="7">
        <v>36</v>
      </c>
      <c r="D3" s="7">
        <v>37</v>
      </c>
      <c r="E3" s="7">
        <f>C3+D3</f>
        <v>73</v>
      </c>
      <c r="H3">
        <v>1</v>
      </c>
      <c r="I3">
        <v>2</v>
      </c>
      <c r="J3">
        <v>2</v>
      </c>
      <c r="N3" s="53"/>
      <c r="O3" s="5" t="s">
        <v>87</v>
      </c>
      <c r="P3" s="7">
        <v>14</v>
      </c>
      <c r="Q3" s="7">
        <v>10</v>
      </c>
      <c r="R3" s="7">
        <f>P3+Q3</f>
        <v>24</v>
      </c>
      <c r="T3" t="s">
        <v>116</v>
      </c>
    </row>
    <row r="4" spans="1:23" x14ac:dyDescent="0.3">
      <c r="A4" s="53"/>
      <c r="B4" s="5" t="s">
        <v>14</v>
      </c>
      <c r="C4" s="7">
        <v>39</v>
      </c>
      <c r="D4" s="7">
        <v>19</v>
      </c>
      <c r="E4" s="7">
        <f>C4+D4</f>
        <v>58</v>
      </c>
      <c r="H4">
        <v>2</v>
      </c>
      <c r="I4">
        <v>1</v>
      </c>
      <c r="J4">
        <v>1</v>
      </c>
      <c r="N4" s="53"/>
      <c r="O4" s="5" t="s">
        <v>14</v>
      </c>
      <c r="P4" s="7">
        <v>11</v>
      </c>
      <c r="Q4" s="7">
        <v>2</v>
      </c>
      <c r="R4" s="7">
        <f>P4+Q4</f>
        <v>13</v>
      </c>
    </row>
    <row r="5" spans="1:23" x14ac:dyDescent="0.3">
      <c r="A5" s="5" t="s">
        <v>88</v>
      </c>
      <c r="B5" s="5"/>
      <c r="C5" s="7">
        <f>C3+C4</f>
        <v>75</v>
      </c>
      <c r="D5" s="7">
        <f>D3+D4</f>
        <v>56</v>
      </c>
      <c r="E5" s="7">
        <f>E3+E4</f>
        <v>131</v>
      </c>
      <c r="H5">
        <v>2</v>
      </c>
      <c r="I5">
        <v>1</v>
      </c>
      <c r="J5">
        <v>2</v>
      </c>
      <c r="N5" s="5" t="s">
        <v>88</v>
      </c>
      <c r="O5" s="5"/>
      <c r="P5" s="7">
        <f>P3+P4</f>
        <v>25</v>
      </c>
      <c r="Q5" s="7">
        <f>Q3+Q4</f>
        <v>12</v>
      </c>
      <c r="R5" s="7">
        <f>R3+R4</f>
        <v>37</v>
      </c>
    </row>
    <row r="6" spans="1:23" x14ac:dyDescent="0.3">
      <c r="H6">
        <v>1</v>
      </c>
      <c r="I6">
        <v>1</v>
      </c>
      <c r="J6">
        <v>2</v>
      </c>
    </row>
    <row r="7" spans="1:23" x14ac:dyDescent="0.3">
      <c r="A7" s="9" t="s">
        <v>83</v>
      </c>
      <c r="B7" s="9" t="s">
        <v>84</v>
      </c>
      <c r="C7" s="9" t="s">
        <v>85</v>
      </c>
      <c r="D7" s="9" t="s">
        <v>86</v>
      </c>
      <c r="E7" s="59" t="s">
        <v>106</v>
      </c>
      <c r="F7" s="59"/>
      <c r="H7">
        <v>2</v>
      </c>
      <c r="I7">
        <v>2</v>
      </c>
      <c r="J7">
        <v>2</v>
      </c>
      <c r="N7" s="5" t="s">
        <v>114</v>
      </c>
      <c r="O7" s="53" t="s">
        <v>90</v>
      </c>
      <c r="P7" s="53"/>
      <c r="Q7" s="53"/>
      <c r="R7" s="5"/>
      <c r="T7" s="9" t="s">
        <v>83</v>
      </c>
      <c r="U7" s="9" t="s">
        <v>84</v>
      </c>
      <c r="V7" s="9" t="s">
        <v>85</v>
      </c>
      <c r="W7" s="9" t="s">
        <v>86</v>
      </c>
    </row>
    <row r="8" spans="1:23" x14ac:dyDescent="0.3">
      <c r="A8" s="41">
        <f>C3/C5</f>
        <v>0.48</v>
      </c>
      <c r="B8" s="41">
        <f>1-A8</f>
        <v>0.52</v>
      </c>
      <c r="C8" s="41">
        <f>D4/E4</f>
        <v>0.32758620689655171</v>
      </c>
      <c r="D8" s="41">
        <f>1-C8</f>
        <v>0.67241379310344829</v>
      </c>
      <c r="E8" s="59"/>
      <c r="F8" s="59"/>
      <c r="H8">
        <v>1</v>
      </c>
      <c r="I8">
        <v>1</v>
      </c>
      <c r="J8">
        <v>1</v>
      </c>
      <c r="N8" s="53" t="s">
        <v>89</v>
      </c>
      <c r="O8" s="5"/>
      <c r="P8" s="5" t="s">
        <v>87</v>
      </c>
      <c r="Q8" s="5" t="s">
        <v>14</v>
      </c>
      <c r="R8" s="5" t="s">
        <v>88</v>
      </c>
      <c r="T8" s="40">
        <f>P9/(P9+Q9)</f>
        <v>0.52</v>
      </c>
      <c r="U8" s="40">
        <f>1-T8</f>
        <v>0.48</v>
      </c>
      <c r="V8" s="40">
        <f>Q10/(Q10+P10)</f>
        <v>0.45454545454545453</v>
      </c>
      <c r="W8" s="40">
        <f>1-V8</f>
        <v>0.54545454545454541</v>
      </c>
    </row>
    <row r="9" spans="1:23" x14ac:dyDescent="0.3">
      <c r="A9" s="4"/>
      <c r="B9" s="8"/>
      <c r="H9">
        <v>2</v>
      </c>
      <c r="I9">
        <v>1</v>
      </c>
      <c r="J9">
        <v>1</v>
      </c>
      <c r="N9" s="53"/>
      <c r="O9" s="5" t="s">
        <v>87</v>
      </c>
      <c r="P9" s="7">
        <v>13</v>
      </c>
      <c r="Q9" s="7">
        <v>12</v>
      </c>
      <c r="R9" s="7">
        <f>P9+Q9</f>
        <v>25</v>
      </c>
    </row>
    <row r="10" spans="1:23" ht="14.4" customHeight="1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8" t="s">
        <v>107</v>
      </c>
      <c r="F10" s="59"/>
      <c r="H10">
        <v>1</v>
      </c>
      <c r="I10">
        <v>2</v>
      </c>
      <c r="J10">
        <v>2</v>
      </c>
      <c r="N10" s="53"/>
      <c r="O10" s="5" t="s">
        <v>14</v>
      </c>
      <c r="P10" s="7">
        <v>12</v>
      </c>
      <c r="Q10" s="7">
        <v>10</v>
      </c>
      <c r="R10" s="7">
        <f>P10+Q10</f>
        <v>22</v>
      </c>
    </row>
    <row r="11" spans="1:23" x14ac:dyDescent="0.3">
      <c r="A11" s="43">
        <f>C3/E3</f>
        <v>0.49315068493150682</v>
      </c>
      <c r="B11" s="43">
        <f>1-A11</f>
        <v>0.50684931506849318</v>
      </c>
      <c r="C11" s="43">
        <f>D4/E4</f>
        <v>0.32758620689655171</v>
      </c>
      <c r="D11" s="43">
        <f>1-C11</f>
        <v>0.67241379310344829</v>
      </c>
      <c r="E11" s="58"/>
      <c r="F11" s="59"/>
      <c r="H11">
        <v>2</v>
      </c>
      <c r="I11">
        <v>2</v>
      </c>
      <c r="J11">
        <v>1</v>
      </c>
      <c r="N11" s="5" t="s">
        <v>88</v>
      </c>
      <c r="O11" s="5"/>
      <c r="P11" s="7">
        <f>P9+P10</f>
        <v>25</v>
      </c>
      <c r="Q11" s="7">
        <f>Q9+Q10</f>
        <v>22</v>
      </c>
      <c r="R11" s="7">
        <f>R9+R10</f>
        <v>47</v>
      </c>
    </row>
    <row r="12" spans="1:23" x14ac:dyDescent="0.3">
      <c r="E12" s="44"/>
      <c r="F12" s="44"/>
      <c r="H12">
        <v>1</v>
      </c>
      <c r="I12">
        <v>2</v>
      </c>
      <c r="J12">
        <v>2</v>
      </c>
    </row>
    <row r="13" spans="1:23" x14ac:dyDescent="0.3">
      <c r="A13" t="s">
        <v>108</v>
      </c>
      <c r="H13">
        <v>1</v>
      </c>
      <c r="I13">
        <v>2</v>
      </c>
      <c r="J13">
        <v>1</v>
      </c>
      <c r="N13" s="5" t="s">
        <v>115</v>
      </c>
      <c r="O13" s="53" t="s">
        <v>90</v>
      </c>
      <c r="P13" s="53"/>
      <c r="Q13" s="53"/>
      <c r="R13" s="5"/>
      <c r="T13" s="9" t="s">
        <v>83</v>
      </c>
      <c r="U13" s="9" t="s">
        <v>84</v>
      </c>
      <c r="V13" s="9" t="s">
        <v>85</v>
      </c>
      <c r="W13" s="9" t="s">
        <v>86</v>
      </c>
    </row>
    <row r="14" spans="1:23" x14ac:dyDescent="0.3">
      <c r="A14" t="s">
        <v>109</v>
      </c>
      <c r="H14">
        <v>2</v>
      </c>
      <c r="I14">
        <v>1</v>
      </c>
      <c r="J14">
        <v>2</v>
      </c>
      <c r="N14" s="53" t="s">
        <v>89</v>
      </c>
      <c r="O14" s="5"/>
      <c r="P14" s="5" t="s">
        <v>87</v>
      </c>
      <c r="Q14" s="5" t="s">
        <v>14</v>
      </c>
      <c r="R14" s="5" t="s">
        <v>88</v>
      </c>
      <c r="T14" s="40">
        <f>P15/(P15+Q15)</f>
        <v>0.375</v>
      </c>
      <c r="U14" s="40">
        <f>1-T14</f>
        <v>0.625</v>
      </c>
      <c r="V14" s="40">
        <f>Q16/(Q16+P16)</f>
        <v>0.30434782608695654</v>
      </c>
      <c r="W14" s="40">
        <f>1-V14</f>
        <v>0.69565217391304346</v>
      </c>
    </row>
    <row r="15" spans="1:23" x14ac:dyDescent="0.3">
      <c r="A15" t="s">
        <v>111</v>
      </c>
      <c r="H15">
        <v>1</v>
      </c>
      <c r="I15">
        <v>1</v>
      </c>
      <c r="J15">
        <v>2</v>
      </c>
      <c r="N15" s="53"/>
      <c r="O15" s="5" t="s">
        <v>87</v>
      </c>
      <c r="P15" s="7">
        <v>9</v>
      </c>
      <c r="Q15" s="7">
        <v>15</v>
      </c>
      <c r="R15" s="7">
        <f>P15+Q15</f>
        <v>24</v>
      </c>
    </row>
    <row r="16" spans="1:23" x14ac:dyDescent="0.3">
      <c r="A16" t="s">
        <v>112</v>
      </c>
      <c r="H16">
        <v>2</v>
      </c>
      <c r="I16">
        <v>2</v>
      </c>
      <c r="J16">
        <v>1</v>
      </c>
      <c r="N16" s="53"/>
      <c r="O16" s="5" t="s">
        <v>14</v>
      </c>
      <c r="P16" s="7">
        <v>16</v>
      </c>
      <c r="Q16" s="7">
        <v>7</v>
      </c>
      <c r="R16" s="7">
        <f>P16+Q16</f>
        <v>23</v>
      </c>
    </row>
    <row r="17" spans="1:18" x14ac:dyDescent="0.3">
      <c r="H17">
        <v>1</v>
      </c>
      <c r="I17">
        <v>2</v>
      </c>
      <c r="J17">
        <v>2</v>
      </c>
      <c r="N17" s="5" t="s">
        <v>88</v>
      </c>
      <c r="O17" s="5"/>
      <c r="P17" s="7">
        <f>P15+P16</f>
        <v>25</v>
      </c>
      <c r="Q17" s="7">
        <f>Q15+Q16</f>
        <v>22</v>
      </c>
      <c r="R17" s="7">
        <f>R15+R16</f>
        <v>47</v>
      </c>
    </row>
    <row r="18" spans="1:18" ht="14.4" customHeight="1" x14ac:dyDescent="0.3">
      <c r="A18" s="54" t="s">
        <v>102</v>
      </c>
      <c r="B18" s="54" t="s">
        <v>104</v>
      </c>
      <c r="C18" s="55" t="s">
        <v>110</v>
      </c>
      <c r="D18" s="54" t="s">
        <v>105</v>
      </c>
      <c r="E18" s="54" t="s">
        <v>126</v>
      </c>
      <c r="F18" s="54" t="s">
        <v>127</v>
      </c>
      <c r="H18">
        <v>2</v>
      </c>
      <c r="I18">
        <v>1</v>
      </c>
      <c r="J18">
        <v>1</v>
      </c>
    </row>
    <row r="19" spans="1:18" x14ac:dyDescent="0.3">
      <c r="A19" s="54"/>
      <c r="B19" s="54"/>
      <c r="C19" s="56"/>
      <c r="D19" s="54"/>
      <c r="E19" s="54"/>
      <c r="F19" s="54"/>
      <c r="H19">
        <v>1</v>
      </c>
      <c r="I19">
        <v>1</v>
      </c>
      <c r="J19">
        <v>1</v>
      </c>
    </row>
    <row r="20" spans="1:18" x14ac:dyDescent="0.3">
      <c r="A20" s="54"/>
      <c r="B20" s="54"/>
      <c r="C20" s="56"/>
      <c r="D20" s="54"/>
      <c r="E20" s="54"/>
      <c r="F20" s="54"/>
      <c r="H20">
        <v>1</v>
      </c>
      <c r="I20">
        <v>1</v>
      </c>
      <c r="J20">
        <v>2</v>
      </c>
    </row>
    <row r="21" spans="1:18" x14ac:dyDescent="0.3">
      <c r="A21" s="54"/>
      <c r="B21" s="54"/>
      <c r="C21" s="57"/>
      <c r="D21" s="54"/>
      <c r="E21" s="54"/>
      <c r="F21" s="54"/>
      <c r="H21">
        <v>1</v>
      </c>
      <c r="I21">
        <v>1</v>
      </c>
      <c r="J21">
        <v>1</v>
      </c>
    </row>
    <row r="22" spans="1:18" x14ac:dyDescent="0.3">
      <c r="A22" s="37">
        <v>1</v>
      </c>
      <c r="B22" s="37">
        <v>46</v>
      </c>
      <c r="C22" s="47">
        <f>($C$4*$D$11*$A$11^0)+($D$3*$B$11*$C$11^0)</f>
        <v>44.97756258856873</v>
      </c>
      <c r="D22" s="37">
        <v>48.429000000000002</v>
      </c>
      <c r="E22" s="5" t="s">
        <v>125</v>
      </c>
      <c r="F22" s="5" t="s">
        <v>125</v>
      </c>
      <c r="H22">
        <v>2</v>
      </c>
      <c r="I22">
        <v>2</v>
      </c>
      <c r="J22">
        <v>2</v>
      </c>
    </row>
    <row r="23" spans="1:18" x14ac:dyDescent="0.3">
      <c r="A23" s="37">
        <v>2</v>
      </c>
      <c r="B23" s="37">
        <v>20</v>
      </c>
      <c r="C23" s="40">
        <f>($C$4*$D$11*$A$11^1)+($D$3*$B$11*$C$11^1)</f>
        <v>19.075814832309874</v>
      </c>
      <c r="D23" s="46">
        <v>17.722999999999999</v>
      </c>
      <c r="E23" s="5" t="s">
        <v>125</v>
      </c>
      <c r="F23" s="5" t="s">
        <v>125</v>
      </c>
      <c r="H23">
        <v>1</v>
      </c>
      <c r="I23">
        <v>2</v>
      </c>
      <c r="J23">
        <v>1</v>
      </c>
    </row>
    <row r="24" spans="1:18" x14ac:dyDescent="0.3">
      <c r="A24" s="37">
        <v>3</v>
      </c>
      <c r="B24" s="37">
        <v>7</v>
      </c>
      <c r="C24" s="40">
        <f>($C$4*$D$11*$A$11^2)+($D$3*$B$11*$C$11^2)</f>
        <v>8.3901284203343867</v>
      </c>
      <c r="D24" s="37">
        <v>7.0389999999999997</v>
      </c>
      <c r="E24" s="37">
        <v>3</v>
      </c>
      <c r="F24" s="5">
        <v>4</v>
      </c>
      <c r="H24">
        <v>1</v>
      </c>
      <c r="I24">
        <v>2</v>
      </c>
      <c r="J24">
        <v>2</v>
      </c>
    </row>
    <row r="25" spans="1:18" x14ac:dyDescent="0.3">
      <c r="A25" s="37">
        <v>4</v>
      </c>
      <c r="B25" s="37">
        <v>2</v>
      </c>
      <c r="C25" s="40">
        <f>($C$4*$D$11*$A$11^3)+($D$3*$B$11*$C$11^3)</f>
        <v>3.8044022001327451</v>
      </c>
      <c r="D25" s="37">
        <v>2.9769999999999999</v>
      </c>
      <c r="E25" s="5">
        <v>1</v>
      </c>
      <c r="F25" s="5">
        <v>1</v>
      </c>
      <c r="H25">
        <v>1</v>
      </c>
      <c r="I25">
        <v>1</v>
      </c>
      <c r="J25">
        <v>2</v>
      </c>
    </row>
    <row r="26" spans="1:18" x14ac:dyDescent="0.3">
      <c r="A26" s="37">
        <v>5</v>
      </c>
      <c r="B26" s="37">
        <v>1</v>
      </c>
      <c r="C26" s="40">
        <f>($C$4*$D$11*$A$11^4)+($D$3*$B$11*$C$11^4)</f>
        <v>1.766993341037451</v>
      </c>
      <c r="D26" s="37">
        <v>1.3660000000000001</v>
      </c>
      <c r="E26" s="5">
        <v>1</v>
      </c>
      <c r="F26" s="5">
        <v>0</v>
      </c>
      <c r="H26">
        <v>1</v>
      </c>
      <c r="I26">
        <v>2</v>
      </c>
      <c r="J26">
        <v>1</v>
      </c>
    </row>
    <row r="27" spans="1:18" x14ac:dyDescent="0.3">
      <c r="A27" s="37">
        <v>6</v>
      </c>
      <c r="B27" s="37">
        <v>0</v>
      </c>
      <c r="C27" s="40">
        <f>($C$4*$D$11*$A$11^5)+($D$3*$B$11*$C$11^5)</f>
        <v>0.83563787322020422</v>
      </c>
      <c r="D27" s="37">
        <v>0.60799999999999998</v>
      </c>
      <c r="E27" s="5">
        <v>0</v>
      </c>
      <c r="F27" s="5">
        <v>0</v>
      </c>
      <c r="H27">
        <v>1</v>
      </c>
      <c r="I27">
        <v>1</v>
      </c>
      <c r="J27">
        <v>2</v>
      </c>
    </row>
    <row r="28" spans="1:18" x14ac:dyDescent="0.3">
      <c r="A28" s="37">
        <v>7</v>
      </c>
      <c r="B28" s="37">
        <v>0</v>
      </c>
      <c r="C28" s="40">
        <f>($C$4*$D$11*$A$11^6)+($D$3*$B$11*$C$11^6)</f>
        <v>0.40038218331851516</v>
      </c>
      <c r="D28" s="37">
        <v>0.27200000000000002</v>
      </c>
      <c r="E28" s="5">
        <v>0</v>
      </c>
      <c r="F28" s="5">
        <v>0</v>
      </c>
      <c r="H28">
        <v>1</v>
      </c>
      <c r="I28">
        <v>2</v>
      </c>
      <c r="J28">
        <v>1</v>
      </c>
    </row>
    <row r="29" spans="1:18" x14ac:dyDescent="0.3">
      <c r="A29" s="37">
        <v>8</v>
      </c>
      <c r="B29" s="37">
        <v>0</v>
      </c>
      <c r="C29" s="40">
        <f>($C$4*$D$11*$A$11^7)+($D$3*$B$11*$C$11^7)</f>
        <v>0.19361166314341532</v>
      </c>
      <c r="D29" s="37">
        <v>0.127</v>
      </c>
      <c r="E29" s="5">
        <v>0</v>
      </c>
      <c r="F29" s="5">
        <v>0</v>
      </c>
      <c r="H29">
        <v>1</v>
      </c>
      <c r="I29">
        <v>1</v>
      </c>
      <c r="J29">
        <v>1</v>
      </c>
    </row>
    <row r="30" spans="1:18" x14ac:dyDescent="0.3">
      <c r="A30" s="37" t="s">
        <v>103</v>
      </c>
      <c r="B30" s="37">
        <v>1</v>
      </c>
      <c r="C30" s="40">
        <f>($C$4*$D$11*$A$11^8)+($D$3*$B$11*$C$11^8)</f>
        <v>9.4222748236538464E-2</v>
      </c>
      <c r="D30" s="37">
        <v>7.0999999999999994E-2</v>
      </c>
      <c r="E30" s="5">
        <v>1</v>
      </c>
      <c r="F30" s="5">
        <v>0</v>
      </c>
      <c r="H30">
        <v>1</v>
      </c>
      <c r="I30">
        <v>2</v>
      </c>
      <c r="J30">
        <v>2</v>
      </c>
    </row>
    <row r="31" spans="1:18" x14ac:dyDescent="0.3">
      <c r="H31">
        <v>1</v>
      </c>
      <c r="I31">
        <v>1</v>
      </c>
      <c r="J31">
        <v>1</v>
      </c>
    </row>
    <row r="32" spans="1:18" ht="14.4" customHeight="1" x14ac:dyDescent="0.3">
      <c r="A32" s="62"/>
      <c r="B32" s="55" t="s">
        <v>130</v>
      </c>
      <c r="C32" s="60"/>
      <c r="D32" s="55" t="s">
        <v>131</v>
      </c>
      <c r="E32" s="60"/>
      <c r="F32" s="62" t="s">
        <v>128</v>
      </c>
      <c r="G32" s="62" t="s">
        <v>129</v>
      </c>
      <c r="H32">
        <v>1</v>
      </c>
      <c r="I32">
        <v>1</v>
      </c>
      <c r="J32">
        <v>1</v>
      </c>
    </row>
    <row r="33" spans="1:10" x14ac:dyDescent="0.3">
      <c r="A33" s="63"/>
      <c r="B33" s="57"/>
      <c r="C33" s="61"/>
      <c r="D33" s="57"/>
      <c r="E33" s="61"/>
      <c r="F33" s="63"/>
      <c r="G33" s="63"/>
      <c r="H33">
        <v>1</v>
      </c>
      <c r="I33">
        <v>2</v>
      </c>
      <c r="J33">
        <v>2</v>
      </c>
    </row>
    <row r="34" spans="1:10" x14ac:dyDescent="0.3">
      <c r="A34" s="5" t="s">
        <v>87</v>
      </c>
      <c r="B34" s="64">
        <f>E24+E25+E26+E27+E28+E29+E30</f>
        <v>6</v>
      </c>
      <c r="C34" s="65"/>
      <c r="D34" s="66">
        <f>E24*1+E25*2+E26*3+E27*4+E28*5+E29*6+E30*7</f>
        <v>15</v>
      </c>
      <c r="E34" s="67"/>
      <c r="F34" s="48">
        <f>B34/D34</f>
        <v>0.4</v>
      </c>
      <c r="G34" s="49">
        <f>F34</f>
        <v>0.4</v>
      </c>
      <c r="H34">
        <v>2</v>
      </c>
      <c r="I34">
        <v>1</v>
      </c>
      <c r="J34">
        <v>2</v>
      </c>
    </row>
    <row r="35" spans="1:10" x14ac:dyDescent="0.3">
      <c r="A35" s="5" t="s">
        <v>14</v>
      </c>
      <c r="B35" s="64">
        <f>F24+F25+F26+F27+F28+F29+F30</f>
        <v>5</v>
      </c>
      <c r="C35" s="65"/>
      <c r="D35" s="66">
        <f>F24*1+F25*2+F26*3+F27*4+F28*5+F29*6+F30*7</f>
        <v>6</v>
      </c>
      <c r="E35" s="67"/>
      <c r="F35" s="48">
        <f>B35/D35</f>
        <v>0.83333333333333337</v>
      </c>
      <c r="G35" s="49">
        <f>F35</f>
        <v>0.83333333333333337</v>
      </c>
      <c r="H35">
        <v>1</v>
      </c>
      <c r="I35">
        <v>1</v>
      </c>
      <c r="J35">
        <v>1</v>
      </c>
    </row>
    <row r="36" spans="1:10" x14ac:dyDescent="0.3">
      <c r="B36" s="1"/>
      <c r="C36" s="1"/>
      <c r="H36">
        <v>1</v>
      </c>
      <c r="I36">
        <v>2</v>
      </c>
      <c r="J36">
        <v>2</v>
      </c>
    </row>
    <row r="37" spans="1:10" x14ac:dyDescent="0.3">
      <c r="B37" s="1"/>
      <c r="C37" s="1"/>
      <c r="H37">
        <v>2</v>
      </c>
      <c r="I37">
        <v>1</v>
      </c>
      <c r="J37">
        <v>1</v>
      </c>
    </row>
    <row r="38" spans="1:10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1</v>
      </c>
      <c r="I38">
        <v>1</v>
      </c>
      <c r="J38">
        <v>1</v>
      </c>
    </row>
    <row r="39" spans="1:10" x14ac:dyDescent="0.3">
      <c r="A39" s="80" t="s">
        <v>87</v>
      </c>
      <c r="B39" s="83">
        <v>6</v>
      </c>
      <c r="C39" s="83"/>
      <c r="D39" s="92">
        <v>36</v>
      </c>
      <c r="E39" s="92"/>
      <c r="F39" s="82">
        <f>SUM(B39+D39)</f>
        <v>42</v>
      </c>
      <c r="I39">
        <v>2</v>
      </c>
      <c r="J39">
        <v>2</v>
      </c>
    </row>
    <row r="40" spans="1:10" x14ac:dyDescent="0.3">
      <c r="A40" s="80" t="s">
        <v>14</v>
      </c>
      <c r="B40" s="83">
        <v>5</v>
      </c>
      <c r="C40" s="83"/>
      <c r="D40" s="92">
        <v>19</v>
      </c>
      <c r="E40" s="92"/>
      <c r="F40" s="82">
        <f>SUM(B40+D40)</f>
        <v>24</v>
      </c>
      <c r="I40">
        <v>2</v>
      </c>
      <c r="J40">
        <v>1</v>
      </c>
    </row>
    <row r="41" spans="1:10" x14ac:dyDescent="0.3">
      <c r="A41" s="85"/>
      <c r="B41" s="86">
        <f>SUM(B39:B40)</f>
        <v>11</v>
      </c>
      <c r="C41" s="86"/>
      <c r="D41" s="87">
        <f>SUM(D39:D40)</f>
        <v>55</v>
      </c>
      <c r="E41" s="87"/>
      <c r="F41" s="82">
        <f>SUM(F39:F40)</f>
        <v>66</v>
      </c>
      <c r="I41">
        <v>1</v>
      </c>
      <c r="J41">
        <v>1</v>
      </c>
    </row>
    <row r="42" spans="1:10" x14ac:dyDescent="0.3">
      <c r="A42" s="40"/>
      <c r="B42" s="84" t="s">
        <v>134</v>
      </c>
      <c r="C42" s="84"/>
      <c r="D42" s="84" t="s">
        <v>132</v>
      </c>
      <c r="E42" s="84"/>
      <c r="F42" s="73"/>
      <c r="I42">
        <v>1</v>
      </c>
      <c r="J42">
        <v>1</v>
      </c>
    </row>
    <row r="43" spans="1:10" x14ac:dyDescent="0.3">
      <c r="A43" s="82" t="s">
        <v>87</v>
      </c>
      <c r="B43" s="81">
        <f>B41*F39/F41</f>
        <v>7</v>
      </c>
      <c r="C43" s="81"/>
      <c r="D43" s="81">
        <f>D41*F39/F41</f>
        <v>35</v>
      </c>
      <c r="E43" s="81"/>
      <c r="F43" s="73"/>
      <c r="I43">
        <v>2</v>
      </c>
      <c r="J43">
        <v>1</v>
      </c>
    </row>
    <row r="44" spans="1:10" x14ac:dyDescent="0.3">
      <c r="A44" s="82" t="s">
        <v>14</v>
      </c>
      <c r="B44" s="81">
        <f>B41*F40/F41</f>
        <v>4</v>
      </c>
      <c r="C44" s="81"/>
      <c r="D44" s="81">
        <f>D41*F40/F41</f>
        <v>20</v>
      </c>
      <c r="E44" s="81"/>
      <c r="F44" s="73"/>
      <c r="I44">
        <v>2</v>
      </c>
      <c r="J44">
        <v>1</v>
      </c>
    </row>
    <row r="45" spans="1:10" x14ac:dyDescent="0.3">
      <c r="A45" s="88"/>
      <c r="B45" s="88"/>
      <c r="C45" s="88"/>
      <c r="D45" s="88"/>
      <c r="E45" s="88"/>
      <c r="F45" s="73"/>
      <c r="I45">
        <v>2</v>
      </c>
      <c r="J45">
        <v>2</v>
      </c>
    </row>
    <row r="46" spans="1:10" x14ac:dyDescent="0.3">
      <c r="A46" s="88" t="s">
        <v>135</v>
      </c>
      <c r="B46" s="89">
        <f>CHITEST(B39:E40,B43:E44)</f>
        <v>0.92512206761285687</v>
      </c>
      <c r="C46" s="88"/>
      <c r="D46" s="88"/>
      <c r="E46" s="88"/>
      <c r="F46" s="73"/>
      <c r="I46">
        <v>1</v>
      </c>
      <c r="J46">
        <v>2</v>
      </c>
    </row>
    <row r="47" spans="1:10" x14ac:dyDescent="0.3">
      <c r="I47">
        <v>1</v>
      </c>
      <c r="J47">
        <v>2</v>
      </c>
    </row>
    <row r="48" spans="1:10" x14ac:dyDescent="0.3">
      <c r="I48">
        <v>1</v>
      </c>
      <c r="J48">
        <v>1</v>
      </c>
    </row>
    <row r="50" spans="2:5" ht="14.4" customHeight="1" x14ac:dyDescent="0.3"/>
    <row r="51" spans="2:5" ht="14.4" customHeight="1" x14ac:dyDescent="0.3"/>
    <row r="53" spans="2:5" ht="14.4" customHeight="1" x14ac:dyDescent="0.3"/>
    <row r="57" spans="2:5" ht="15" customHeight="1" x14ac:dyDescent="0.3">
      <c r="B57" s="51"/>
      <c r="C57" s="51"/>
      <c r="D57" s="51"/>
      <c r="E57" s="51"/>
    </row>
    <row r="58" spans="2:5" x14ac:dyDescent="0.3">
      <c r="B58" s="51"/>
      <c r="C58" s="51"/>
      <c r="D58" s="51"/>
      <c r="E58" s="51"/>
    </row>
  </sheetData>
  <mergeCells count="43">
    <mergeCell ref="B38:C38"/>
    <mergeCell ref="B39:C39"/>
    <mergeCell ref="D39:E39"/>
    <mergeCell ref="D38:E38"/>
    <mergeCell ref="B41:C41"/>
    <mergeCell ref="D41:E41"/>
    <mergeCell ref="B44:C44"/>
    <mergeCell ref="D44:E44"/>
    <mergeCell ref="B42:C42"/>
    <mergeCell ref="D42:E42"/>
    <mergeCell ref="B43:C43"/>
    <mergeCell ref="D43:E43"/>
    <mergeCell ref="B40:C40"/>
    <mergeCell ref="D40:E40"/>
    <mergeCell ref="G32:G33"/>
    <mergeCell ref="A32:A33"/>
    <mergeCell ref="B34:C34"/>
    <mergeCell ref="B35:C35"/>
    <mergeCell ref="D34:E34"/>
    <mergeCell ref="D35:E35"/>
    <mergeCell ref="E18:E21"/>
    <mergeCell ref="F18:F21"/>
    <mergeCell ref="B32:C33"/>
    <mergeCell ref="D32:E33"/>
    <mergeCell ref="F32:F33"/>
    <mergeCell ref="N14:N16"/>
    <mergeCell ref="E10:F11"/>
    <mergeCell ref="O1:Q1"/>
    <mergeCell ref="N2:N4"/>
    <mergeCell ref="O7:Q7"/>
    <mergeCell ref="N8:N10"/>
    <mergeCell ref="O13:Q13"/>
    <mergeCell ref="E7:F8"/>
    <mergeCell ref="A2:A4"/>
    <mergeCell ref="B1:D1"/>
    <mergeCell ref="D18:D21"/>
    <mergeCell ref="B18:B21"/>
    <mergeCell ref="A18:A21"/>
    <mergeCell ref="C18:C21"/>
    <mergeCell ref="B57:C57"/>
    <mergeCell ref="B58:C58"/>
    <mergeCell ref="D57:E57"/>
    <mergeCell ref="D58:E58"/>
  </mergeCells>
  <conditionalFormatting sqref="H1:L49 A43:B44 H60:L1048576 A45:E46 D42:D44 B42">
    <cfRule type="cellIs" dxfId="196" priority="1" operator="equal">
      <formula>1</formula>
    </cfRule>
    <cfRule type="cellIs" dxfId="195" priority="2" operator="equal">
      <formula>2</formula>
    </cfRule>
    <cfRule type="cellIs" dxfId="194" priority="3" operator="equal">
      <formula>1</formula>
    </cfRule>
    <cfRule type="cellIs" dxfId="193" priority="4" operator="equal">
      <formula>2</formula>
    </cfRule>
  </conditionalFormatting>
  <pageMargins left="0.7" right="0.7" top="0.75" bottom="0.75" header="0.3" footer="0.3"/>
  <pageSetup paperSize="9" orientation="portrait" r:id="rId1"/>
  <ignoredErrors>
    <ignoredError sqref="V14 V2 V8 C8 C11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FD66-7AA8-4502-A889-69AF266E38D2}">
  <dimension ref="A1:W53"/>
  <sheetViews>
    <sheetView topLeftCell="A23" workbookViewId="0">
      <selection activeCell="D41" sqref="D41:E41"/>
    </sheetView>
  </sheetViews>
  <sheetFormatPr defaultRowHeight="14.4" x14ac:dyDescent="0.3"/>
  <cols>
    <col min="3" max="3" width="9.5546875" customWidth="1"/>
  </cols>
  <sheetData>
    <row r="1" spans="1:23" x14ac:dyDescent="0.3">
      <c r="A1" s="5"/>
      <c r="B1" s="53" t="s">
        <v>90</v>
      </c>
      <c r="C1" s="53"/>
      <c r="D1" s="53"/>
      <c r="E1" s="5"/>
    </row>
    <row r="2" spans="1:23" ht="28.8" x14ac:dyDescent="0.3">
      <c r="A2" s="53" t="s">
        <v>89</v>
      </c>
      <c r="B2" s="5"/>
      <c r="C2" s="5" t="s">
        <v>87</v>
      </c>
      <c r="D2" s="37" t="s">
        <v>70</v>
      </c>
      <c r="E2" s="5" t="s">
        <v>88</v>
      </c>
    </row>
    <row r="3" spans="1:23" x14ac:dyDescent="0.3">
      <c r="A3" s="53"/>
      <c r="B3" s="5" t="s">
        <v>87</v>
      </c>
      <c r="C3" s="7">
        <v>28</v>
      </c>
      <c r="D3" s="7">
        <v>46</v>
      </c>
      <c r="E3" s="7">
        <f>C3+D3</f>
        <v>74</v>
      </c>
    </row>
    <row r="4" spans="1:23" ht="28.8" x14ac:dyDescent="0.3">
      <c r="A4" s="53"/>
      <c r="B4" s="37" t="s">
        <v>70</v>
      </c>
      <c r="C4" s="7">
        <v>47</v>
      </c>
      <c r="D4" s="7">
        <v>13</v>
      </c>
      <c r="E4" s="7">
        <f>C4+D4</f>
        <v>60</v>
      </c>
    </row>
    <row r="5" spans="1:23" x14ac:dyDescent="0.3">
      <c r="A5" s="5" t="s">
        <v>88</v>
      </c>
      <c r="B5" s="5"/>
      <c r="C5" s="7">
        <f>C3+C4</f>
        <v>75</v>
      </c>
      <c r="D5" s="7">
        <f>D3+D4</f>
        <v>59</v>
      </c>
      <c r="E5" s="7">
        <f>E3+E4</f>
        <v>134</v>
      </c>
      <c r="H5">
        <v>1</v>
      </c>
      <c r="I5">
        <v>2</v>
      </c>
      <c r="J5">
        <v>1</v>
      </c>
      <c r="N5" s="5" t="s">
        <v>113</v>
      </c>
      <c r="O5" s="53" t="s">
        <v>90</v>
      </c>
      <c r="P5" s="53"/>
      <c r="Q5" s="53"/>
      <c r="R5" s="5"/>
      <c r="T5" s="9" t="s">
        <v>83</v>
      </c>
      <c r="U5" s="9" t="s">
        <v>84</v>
      </c>
      <c r="V5" s="9" t="s">
        <v>85</v>
      </c>
      <c r="W5" s="9" t="s">
        <v>86</v>
      </c>
    </row>
    <row r="6" spans="1:23" x14ac:dyDescent="0.3">
      <c r="H6">
        <v>2</v>
      </c>
      <c r="I6">
        <v>1</v>
      </c>
      <c r="J6">
        <v>2</v>
      </c>
      <c r="N6" s="53" t="s">
        <v>89</v>
      </c>
      <c r="O6" s="5"/>
      <c r="P6" s="5" t="s">
        <v>87</v>
      </c>
      <c r="Q6" s="5" t="s">
        <v>124</v>
      </c>
      <c r="R6" s="5" t="s">
        <v>88</v>
      </c>
      <c r="T6" s="41">
        <f>P7/(P7+Q7)</f>
        <v>0.36</v>
      </c>
      <c r="U6" s="41">
        <f>1-T6</f>
        <v>0.64</v>
      </c>
      <c r="V6" s="41">
        <f>Q8/(Q8+P8)</f>
        <v>0.30434782608695654</v>
      </c>
      <c r="W6" s="41">
        <f>1-V6</f>
        <v>0.69565217391304346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1</v>
      </c>
      <c r="I7">
        <v>1</v>
      </c>
      <c r="J7">
        <v>1</v>
      </c>
      <c r="N7" s="53"/>
      <c r="O7" s="5" t="s">
        <v>87</v>
      </c>
      <c r="P7" s="7">
        <v>9</v>
      </c>
      <c r="Q7" s="7">
        <v>16</v>
      </c>
      <c r="R7" s="7">
        <f>P7+Q7</f>
        <v>25</v>
      </c>
      <c r="T7" t="s">
        <v>116</v>
      </c>
    </row>
    <row r="8" spans="1:23" x14ac:dyDescent="0.3">
      <c r="A8" s="8">
        <f>C3/C5</f>
        <v>0.37333333333333335</v>
      </c>
      <c r="B8" s="8">
        <f>1-A8</f>
        <v>0.62666666666666671</v>
      </c>
      <c r="C8" s="8">
        <f>D4/E4</f>
        <v>0.21666666666666667</v>
      </c>
      <c r="D8" s="8">
        <f>1-C8</f>
        <v>0.78333333333333333</v>
      </c>
      <c r="H8">
        <v>1</v>
      </c>
      <c r="I8">
        <v>2</v>
      </c>
      <c r="J8">
        <v>1</v>
      </c>
      <c r="N8" s="53"/>
      <c r="O8" s="5" t="s">
        <v>124</v>
      </c>
      <c r="P8" s="7">
        <v>16</v>
      </c>
      <c r="Q8" s="7">
        <v>7</v>
      </c>
      <c r="R8" s="7">
        <f>P8+Q8</f>
        <v>23</v>
      </c>
    </row>
    <row r="9" spans="1:23" x14ac:dyDescent="0.3">
      <c r="H9">
        <v>1</v>
      </c>
      <c r="I9">
        <v>1</v>
      </c>
      <c r="J9">
        <v>2</v>
      </c>
      <c r="N9" s="5" t="s">
        <v>88</v>
      </c>
      <c r="O9" s="5"/>
      <c r="P9" s="7">
        <f>P7+P8</f>
        <v>25</v>
      </c>
      <c r="Q9" s="7">
        <f>Q7+Q8</f>
        <v>23</v>
      </c>
      <c r="R9" s="7">
        <f>R7+R8</f>
        <v>48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2</v>
      </c>
      <c r="I10">
        <v>2</v>
      </c>
      <c r="J10">
        <v>1</v>
      </c>
    </row>
    <row r="11" spans="1:23" x14ac:dyDescent="0.3">
      <c r="A11" s="43">
        <f>C3/E3</f>
        <v>0.3783783783783784</v>
      </c>
      <c r="B11" s="43">
        <f>1-A11</f>
        <v>0.6216216216216216</v>
      </c>
      <c r="C11" s="43">
        <f>D4/E4</f>
        <v>0.21666666666666667</v>
      </c>
      <c r="D11" s="43">
        <f>1-C11</f>
        <v>0.78333333333333333</v>
      </c>
      <c r="E11" s="59"/>
      <c r="F11" s="59"/>
      <c r="H11">
        <v>2</v>
      </c>
      <c r="I11">
        <v>1</v>
      </c>
      <c r="J11">
        <v>1</v>
      </c>
      <c r="N11" s="5" t="s">
        <v>114</v>
      </c>
      <c r="O11" s="53" t="s">
        <v>90</v>
      </c>
      <c r="P11" s="53"/>
      <c r="Q11" s="53"/>
      <c r="R11" s="5"/>
      <c r="T11" s="9" t="s">
        <v>83</v>
      </c>
      <c r="U11" s="9" t="s">
        <v>84</v>
      </c>
      <c r="V11" s="9" t="s">
        <v>85</v>
      </c>
      <c r="W11" s="9" t="s">
        <v>86</v>
      </c>
    </row>
    <row r="12" spans="1:23" x14ac:dyDescent="0.3">
      <c r="E12" s="59"/>
      <c r="F12" s="59"/>
      <c r="H12">
        <v>1</v>
      </c>
      <c r="I12">
        <v>2</v>
      </c>
      <c r="J12">
        <v>2</v>
      </c>
      <c r="N12" s="53" t="s">
        <v>89</v>
      </c>
      <c r="O12" s="5"/>
      <c r="P12" s="5" t="s">
        <v>87</v>
      </c>
      <c r="Q12" s="5" t="s">
        <v>124</v>
      </c>
      <c r="R12" s="5" t="s">
        <v>88</v>
      </c>
      <c r="T12" s="41">
        <f>P13/(P13+Q13)</f>
        <v>0.375</v>
      </c>
      <c r="U12" s="41">
        <f>1-T12</f>
        <v>0.625</v>
      </c>
      <c r="V12" s="41">
        <f>Q14/(Q14+P14)</f>
        <v>0.2</v>
      </c>
      <c r="W12" s="41">
        <f>1-V12</f>
        <v>0.8</v>
      </c>
    </row>
    <row r="13" spans="1:23" x14ac:dyDescent="0.3">
      <c r="H13">
        <v>2</v>
      </c>
      <c r="I13">
        <v>1</v>
      </c>
      <c r="J13">
        <v>1</v>
      </c>
      <c r="N13" s="53"/>
      <c r="O13" s="5" t="s">
        <v>87</v>
      </c>
      <c r="P13" s="7">
        <v>9</v>
      </c>
      <c r="Q13" s="7">
        <v>15</v>
      </c>
      <c r="R13" s="7">
        <f>P13+Q13</f>
        <v>24</v>
      </c>
    </row>
    <row r="14" spans="1:23" x14ac:dyDescent="0.3">
      <c r="H14">
        <v>2</v>
      </c>
      <c r="I14">
        <v>2</v>
      </c>
      <c r="J14">
        <v>1</v>
      </c>
      <c r="N14" s="53"/>
      <c r="O14" s="5" t="s">
        <v>124</v>
      </c>
      <c r="P14" s="7">
        <v>16</v>
      </c>
      <c r="Q14" s="7">
        <v>4</v>
      </c>
      <c r="R14" s="7">
        <f>P14+Q14</f>
        <v>20</v>
      </c>
    </row>
    <row r="15" spans="1:23" x14ac:dyDescent="0.3">
      <c r="H15">
        <v>1</v>
      </c>
      <c r="I15">
        <v>1</v>
      </c>
      <c r="J15">
        <v>2</v>
      </c>
      <c r="N15" s="5" t="s">
        <v>88</v>
      </c>
      <c r="O15" s="5"/>
      <c r="P15" s="7">
        <f>P13+P14</f>
        <v>25</v>
      </c>
      <c r="Q15" s="7">
        <f>Q13+Q14</f>
        <v>19</v>
      </c>
      <c r="R15" s="7">
        <f>R13+R14</f>
        <v>44</v>
      </c>
    </row>
    <row r="16" spans="1:23" x14ac:dyDescent="0.3">
      <c r="H16">
        <v>2</v>
      </c>
      <c r="I16">
        <v>2</v>
      </c>
      <c r="J16">
        <v>1</v>
      </c>
    </row>
    <row r="17" spans="1:23" x14ac:dyDescent="0.3">
      <c r="H17">
        <v>1</v>
      </c>
      <c r="I17">
        <v>2</v>
      </c>
      <c r="J17">
        <v>2</v>
      </c>
      <c r="N17" s="5" t="s">
        <v>115</v>
      </c>
      <c r="O17" s="53" t="s">
        <v>90</v>
      </c>
      <c r="P17" s="53"/>
      <c r="Q17" s="53"/>
      <c r="R17" s="5"/>
      <c r="T17" s="9" t="s">
        <v>83</v>
      </c>
      <c r="U17" s="9" t="s">
        <v>84</v>
      </c>
      <c r="V17" s="9" t="s">
        <v>85</v>
      </c>
      <c r="W17" s="9" t="s">
        <v>86</v>
      </c>
    </row>
    <row r="18" spans="1:23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2</v>
      </c>
      <c r="I18">
        <v>1</v>
      </c>
      <c r="J18">
        <v>1</v>
      </c>
      <c r="N18" s="53" t="s">
        <v>89</v>
      </c>
      <c r="O18" s="5"/>
      <c r="P18" s="5" t="s">
        <v>87</v>
      </c>
      <c r="Q18" s="5" t="s">
        <v>124</v>
      </c>
      <c r="R18" s="5" t="s">
        <v>88</v>
      </c>
      <c r="T18" s="41">
        <f>P19/(P19+Q19)</f>
        <v>0.4</v>
      </c>
      <c r="U18" s="41">
        <f>1-T18</f>
        <v>0.6</v>
      </c>
      <c r="V18" s="41">
        <f>Q20/(Q20+P20)</f>
        <v>0.11764705882352941</v>
      </c>
      <c r="W18" s="41">
        <f>1-V18</f>
        <v>0.88235294117647056</v>
      </c>
    </row>
    <row r="19" spans="1:23" x14ac:dyDescent="0.3">
      <c r="A19" s="54"/>
      <c r="B19" s="54"/>
      <c r="C19" s="69"/>
      <c r="D19" s="54"/>
      <c r="E19" s="54"/>
      <c r="F19" s="54"/>
      <c r="H19">
        <v>1</v>
      </c>
      <c r="I19">
        <v>2</v>
      </c>
      <c r="J19">
        <v>1</v>
      </c>
      <c r="N19" s="53"/>
      <c r="O19" s="5" t="s">
        <v>87</v>
      </c>
      <c r="P19" s="7">
        <v>10</v>
      </c>
      <c r="Q19" s="7">
        <v>15</v>
      </c>
      <c r="R19" s="7">
        <f>P19+Q19</f>
        <v>25</v>
      </c>
    </row>
    <row r="20" spans="1:23" x14ac:dyDescent="0.3">
      <c r="A20" s="54"/>
      <c r="B20" s="54"/>
      <c r="C20" s="69"/>
      <c r="D20" s="54"/>
      <c r="E20" s="54"/>
      <c r="F20" s="54"/>
      <c r="H20">
        <v>1</v>
      </c>
      <c r="I20">
        <v>1</v>
      </c>
      <c r="J20">
        <v>1</v>
      </c>
      <c r="N20" s="53"/>
      <c r="O20" s="5" t="s">
        <v>124</v>
      </c>
      <c r="P20" s="7">
        <v>15</v>
      </c>
      <c r="Q20" s="7">
        <v>2</v>
      </c>
      <c r="R20" s="7">
        <f>P20+Q20</f>
        <v>17</v>
      </c>
    </row>
    <row r="21" spans="1:23" x14ac:dyDescent="0.3">
      <c r="A21" s="54"/>
      <c r="B21" s="54"/>
      <c r="C21" s="70"/>
      <c r="D21" s="54"/>
      <c r="E21" s="54"/>
      <c r="F21" s="54"/>
      <c r="H21">
        <v>2</v>
      </c>
      <c r="I21">
        <v>1</v>
      </c>
      <c r="J21">
        <v>1</v>
      </c>
      <c r="N21" s="5" t="s">
        <v>88</v>
      </c>
      <c r="O21" s="5"/>
      <c r="P21" s="7">
        <f>P19+P20</f>
        <v>25</v>
      </c>
      <c r="Q21" s="7">
        <f>Q19+Q20</f>
        <v>17</v>
      </c>
      <c r="R21" s="7">
        <f>R19+R20</f>
        <v>42</v>
      </c>
    </row>
    <row r="22" spans="1:23" x14ac:dyDescent="0.3">
      <c r="A22" s="37">
        <v>1</v>
      </c>
      <c r="B22" s="37">
        <v>61</v>
      </c>
      <c r="C22" s="40">
        <f>($C$4*$D$11*$A$11^0)+($D$3*$B$11*$C$11^0)</f>
        <v>65.411261261261259</v>
      </c>
      <c r="D22" s="37">
        <v>68.396000000000001</v>
      </c>
      <c r="E22" s="5" t="s">
        <v>125</v>
      </c>
      <c r="F22" s="5" t="s">
        <v>125</v>
      </c>
      <c r="H22">
        <v>2</v>
      </c>
      <c r="I22">
        <v>1</v>
      </c>
      <c r="J22">
        <v>2</v>
      </c>
    </row>
    <row r="23" spans="1:23" x14ac:dyDescent="0.3">
      <c r="A23" s="37">
        <v>2</v>
      </c>
      <c r="B23" s="37">
        <v>26</v>
      </c>
      <c r="C23" s="40">
        <f>($C$4*$D$11*$A$11^1)+($D$3*$B$11*$C$11^1)</f>
        <v>20.126126126126124</v>
      </c>
      <c r="D23" s="37">
        <v>18.899999999999999</v>
      </c>
      <c r="E23" s="5" t="s">
        <v>125</v>
      </c>
      <c r="F23" s="5" t="s">
        <v>125</v>
      </c>
      <c r="H23">
        <v>1</v>
      </c>
      <c r="I23">
        <v>1</v>
      </c>
      <c r="J23">
        <v>1</v>
      </c>
    </row>
    <row r="24" spans="1:23" x14ac:dyDescent="0.3">
      <c r="A24" s="37">
        <v>3</v>
      </c>
      <c r="B24" s="37">
        <v>4</v>
      </c>
      <c r="C24" s="40">
        <f>($C$4*$D$11*$A$11^2)+($D$3*$B$11*$C$11^2)</f>
        <v>6.6134067851635407</v>
      </c>
      <c r="D24" s="37">
        <v>5.6479999999999997</v>
      </c>
      <c r="E24" s="37">
        <v>3</v>
      </c>
      <c r="F24" s="5">
        <v>1</v>
      </c>
      <c r="H24">
        <v>2</v>
      </c>
      <c r="I24">
        <v>1</v>
      </c>
      <c r="J24">
        <v>1</v>
      </c>
    </row>
    <row r="25" spans="1:23" x14ac:dyDescent="0.3">
      <c r="A25" s="37">
        <v>4</v>
      </c>
      <c r="B25" s="37">
        <v>1</v>
      </c>
      <c r="C25" s="40">
        <f>($C$4*$D$11*$A$11^3)+($D$3*$B$11*$C$11^3)</f>
        <v>2.2852952289396775</v>
      </c>
      <c r="D25" s="37">
        <v>1.7090000000000001</v>
      </c>
      <c r="E25" s="5">
        <v>1</v>
      </c>
      <c r="F25" s="5">
        <v>0</v>
      </c>
      <c r="H25">
        <v>1</v>
      </c>
      <c r="I25">
        <v>2</v>
      </c>
      <c r="J25">
        <v>2</v>
      </c>
    </row>
    <row r="26" spans="1:23" x14ac:dyDescent="0.3">
      <c r="A26" s="37">
        <v>5</v>
      </c>
      <c r="B26" s="37">
        <v>1</v>
      </c>
      <c r="C26" s="40">
        <f>($C$4*$D$11*$A$11^4)+($D$3*$B$11*$C$11^4)</f>
        <v>0.817673406544842</v>
      </c>
      <c r="D26" s="37">
        <v>0.51300000000000001</v>
      </c>
      <c r="E26" s="5">
        <v>1</v>
      </c>
      <c r="F26" s="5">
        <v>0</v>
      </c>
      <c r="H26">
        <v>2</v>
      </c>
      <c r="I26">
        <v>1</v>
      </c>
      <c r="J26">
        <v>1</v>
      </c>
    </row>
    <row r="27" spans="1:23" x14ac:dyDescent="0.3">
      <c r="A27" s="37">
        <v>6</v>
      </c>
      <c r="B27" s="37">
        <v>0</v>
      </c>
      <c r="C27" s="40">
        <f>($C$4*$D$11*$A$11^5)+($D$3*$B$11*$C$11^5)</f>
        <v>0.2991994767471689</v>
      </c>
      <c r="D27" s="37">
        <v>0.158</v>
      </c>
      <c r="E27" s="5">
        <v>0</v>
      </c>
      <c r="F27" s="5">
        <v>0</v>
      </c>
      <c r="H27">
        <v>1</v>
      </c>
      <c r="I27">
        <v>2</v>
      </c>
      <c r="J27">
        <v>2</v>
      </c>
    </row>
    <row r="28" spans="1:23" x14ac:dyDescent="0.3">
      <c r="A28" s="37">
        <v>7</v>
      </c>
      <c r="B28" s="37">
        <v>0</v>
      </c>
      <c r="C28" s="40">
        <f>($C$4*$D$11*$A$11^6)+($D$3*$B$11*$C$11^6)</f>
        <v>0.11100267963596797</v>
      </c>
      <c r="D28" s="37">
        <v>5.3999999999999999E-2</v>
      </c>
      <c r="E28" s="5">
        <v>0</v>
      </c>
      <c r="F28" s="5">
        <v>0</v>
      </c>
      <c r="H28">
        <v>1</v>
      </c>
      <c r="I28">
        <v>2</v>
      </c>
      <c r="J28">
        <v>1</v>
      </c>
    </row>
    <row r="29" spans="1:23" x14ac:dyDescent="0.3">
      <c r="A29" s="37">
        <v>8</v>
      </c>
      <c r="B29" s="37">
        <v>0</v>
      </c>
      <c r="C29" s="40">
        <f>($C$4*$D$11*$A$11^7)+($D$3*$B$11*$C$11^7)</f>
        <v>4.1522628392400431E-2</v>
      </c>
      <c r="D29" s="37">
        <v>1.2E-2</v>
      </c>
      <c r="E29" s="5">
        <v>0</v>
      </c>
      <c r="F29" s="5">
        <v>0</v>
      </c>
      <c r="H29">
        <v>2</v>
      </c>
      <c r="I29">
        <v>1</v>
      </c>
      <c r="J29">
        <v>1</v>
      </c>
    </row>
    <row r="30" spans="1:23" x14ac:dyDescent="0.3">
      <c r="A30" s="37" t="s">
        <v>103</v>
      </c>
      <c r="B30" s="37">
        <v>0</v>
      </c>
      <c r="C30" s="40">
        <f>($C$4*$D$11*$A$11^8)+($D$3*$B$11*$C$11^8)</f>
        <v>1.5607614600276935E-2</v>
      </c>
      <c r="D30" s="37">
        <v>4.0000000000000001E-3</v>
      </c>
      <c r="E30" s="5">
        <v>0</v>
      </c>
      <c r="F30" s="5">
        <v>0</v>
      </c>
      <c r="H30">
        <v>2</v>
      </c>
      <c r="I30">
        <v>2</v>
      </c>
      <c r="J30">
        <v>2</v>
      </c>
    </row>
    <row r="31" spans="1:23" x14ac:dyDescent="0.3">
      <c r="H31">
        <v>1</v>
      </c>
      <c r="I31">
        <v>2</v>
      </c>
      <c r="J31">
        <v>1</v>
      </c>
    </row>
    <row r="32" spans="1:23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1</v>
      </c>
      <c r="I32">
        <v>1</v>
      </c>
      <c r="J32">
        <v>2</v>
      </c>
    </row>
    <row r="33" spans="1:10" x14ac:dyDescent="0.3">
      <c r="A33" s="53"/>
      <c r="B33" s="54"/>
      <c r="C33" s="54"/>
      <c r="D33" s="54"/>
      <c r="E33" s="54"/>
      <c r="F33" s="53"/>
      <c r="G33" s="53"/>
      <c r="H33">
        <v>2</v>
      </c>
      <c r="I33">
        <v>1</v>
      </c>
      <c r="J33">
        <v>1</v>
      </c>
    </row>
    <row r="34" spans="1:10" x14ac:dyDescent="0.3">
      <c r="A34" s="5" t="s">
        <v>87</v>
      </c>
      <c r="B34" s="64">
        <f>E24+E25+E26+E27+E28+E29+E30</f>
        <v>5</v>
      </c>
      <c r="C34" s="65"/>
      <c r="D34" s="66">
        <f>E24*1+E25*2+E26*3+E27*4+E28*5+E29*6+E30*7</f>
        <v>8</v>
      </c>
      <c r="E34" s="67"/>
      <c r="F34" s="48">
        <f>B34/D34</f>
        <v>0.625</v>
      </c>
      <c r="G34" s="49">
        <f>F34</f>
        <v>0.625</v>
      </c>
      <c r="H34">
        <v>2</v>
      </c>
      <c r="I34">
        <v>1</v>
      </c>
      <c r="J34">
        <v>1</v>
      </c>
    </row>
    <row r="35" spans="1:10" x14ac:dyDescent="0.3">
      <c r="A35" s="5" t="s">
        <v>124</v>
      </c>
      <c r="B35" s="64">
        <f>F24+F25+F26+F27+F28+F29+F30</f>
        <v>1</v>
      </c>
      <c r="C35" s="65"/>
      <c r="D35" s="66">
        <f>F24*1+F25*2+F26*3+F27*4+F28*5+F29*6+F30*7</f>
        <v>1</v>
      </c>
      <c r="E35" s="67"/>
      <c r="F35" s="48">
        <f>B35/D35</f>
        <v>1</v>
      </c>
      <c r="G35" s="49">
        <f>F35</f>
        <v>1</v>
      </c>
      <c r="H35">
        <v>2</v>
      </c>
      <c r="I35">
        <v>2</v>
      </c>
      <c r="J35">
        <v>2</v>
      </c>
    </row>
    <row r="36" spans="1:10" x14ac:dyDescent="0.3">
      <c r="H36">
        <v>1</v>
      </c>
      <c r="I36">
        <v>1</v>
      </c>
      <c r="J36">
        <v>1</v>
      </c>
    </row>
    <row r="37" spans="1:10" x14ac:dyDescent="0.3">
      <c r="H37">
        <v>1</v>
      </c>
      <c r="I37">
        <v>1</v>
      </c>
      <c r="J37">
        <v>2</v>
      </c>
    </row>
    <row r="38" spans="1:10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2</v>
      </c>
      <c r="I38">
        <v>2</v>
      </c>
      <c r="J38">
        <v>2</v>
      </c>
    </row>
    <row r="39" spans="1:10" x14ac:dyDescent="0.3">
      <c r="A39" s="80" t="s">
        <v>87</v>
      </c>
      <c r="B39" s="83">
        <v>5</v>
      </c>
      <c r="C39" s="83"/>
      <c r="D39" s="92">
        <v>28</v>
      </c>
      <c r="E39" s="92"/>
      <c r="F39" s="82">
        <f>SUM(B39+D39)</f>
        <v>33</v>
      </c>
      <c r="H39">
        <v>1</v>
      </c>
      <c r="I39">
        <v>1</v>
      </c>
      <c r="J39">
        <v>1</v>
      </c>
    </row>
    <row r="40" spans="1:10" x14ac:dyDescent="0.3">
      <c r="A40" s="80" t="s">
        <v>124</v>
      </c>
      <c r="B40" s="83">
        <v>1</v>
      </c>
      <c r="C40" s="83"/>
      <c r="D40" s="92">
        <v>13</v>
      </c>
      <c r="E40" s="92"/>
      <c r="F40" s="82">
        <f>SUM(B40+D40)</f>
        <v>14</v>
      </c>
      <c r="H40">
        <v>2</v>
      </c>
      <c r="I40">
        <v>2</v>
      </c>
      <c r="J40">
        <v>1</v>
      </c>
    </row>
    <row r="41" spans="1:10" x14ac:dyDescent="0.3">
      <c r="A41" s="85"/>
      <c r="B41" s="86">
        <f>SUM(B39:B40)</f>
        <v>6</v>
      </c>
      <c r="C41" s="86"/>
      <c r="D41" s="87">
        <f>SUM(D39:D40)</f>
        <v>41</v>
      </c>
      <c r="E41" s="87"/>
      <c r="F41" s="82">
        <f>SUM(F39:F40)</f>
        <v>47</v>
      </c>
      <c r="H41">
        <v>1</v>
      </c>
      <c r="I41">
        <v>1</v>
      </c>
      <c r="J41">
        <v>2</v>
      </c>
    </row>
    <row r="42" spans="1:10" x14ac:dyDescent="0.3">
      <c r="A42" s="40"/>
      <c r="B42" s="84" t="s">
        <v>134</v>
      </c>
      <c r="C42" s="84"/>
      <c r="D42" s="84" t="s">
        <v>132</v>
      </c>
      <c r="E42" s="84"/>
      <c r="F42" s="73"/>
      <c r="H42">
        <v>2</v>
      </c>
      <c r="I42">
        <v>2</v>
      </c>
      <c r="J42">
        <v>2</v>
      </c>
    </row>
    <row r="43" spans="1:10" x14ac:dyDescent="0.3">
      <c r="A43" s="82" t="s">
        <v>87</v>
      </c>
      <c r="B43" s="81">
        <f>B41*F39/F41</f>
        <v>4.2127659574468082</v>
      </c>
      <c r="C43" s="81"/>
      <c r="D43" s="81">
        <f>D41*F39/F41</f>
        <v>28.787234042553191</v>
      </c>
      <c r="E43" s="81"/>
      <c r="F43" s="73"/>
      <c r="H43">
        <v>1</v>
      </c>
      <c r="I43">
        <v>2</v>
      </c>
      <c r="J43">
        <v>1</v>
      </c>
    </row>
    <row r="44" spans="1:10" x14ac:dyDescent="0.3">
      <c r="A44" s="82" t="s">
        <v>124</v>
      </c>
      <c r="B44" s="81">
        <f>B41*F40/F41</f>
        <v>1.7872340425531914</v>
      </c>
      <c r="C44" s="81"/>
      <c r="D44" s="81">
        <f>D41*F40/F41</f>
        <v>12.212765957446809</v>
      </c>
      <c r="E44" s="81"/>
      <c r="F44" s="73"/>
      <c r="H44">
        <v>1</v>
      </c>
      <c r="I44">
        <v>1</v>
      </c>
      <c r="J44">
        <v>2</v>
      </c>
    </row>
    <row r="45" spans="1:10" x14ac:dyDescent="0.3">
      <c r="A45" s="88"/>
      <c r="B45" s="88"/>
      <c r="C45" s="88"/>
      <c r="D45" s="88"/>
      <c r="E45" s="88"/>
      <c r="F45" s="73"/>
      <c r="H45">
        <v>2</v>
      </c>
      <c r="I45">
        <v>2</v>
      </c>
      <c r="J45">
        <v>1</v>
      </c>
    </row>
    <row r="46" spans="1:10" x14ac:dyDescent="0.3">
      <c r="A46" s="88" t="s">
        <v>135</v>
      </c>
      <c r="B46" s="89">
        <f>CHITEST(B39:E40,B43:E44)</f>
        <v>0.90413805564193583</v>
      </c>
      <c r="C46" s="88"/>
      <c r="D46" s="88"/>
      <c r="E46" s="88"/>
      <c r="F46" s="73"/>
      <c r="H46">
        <v>1</v>
      </c>
      <c r="I46">
        <v>1</v>
      </c>
      <c r="J46">
        <v>2</v>
      </c>
    </row>
    <row r="47" spans="1:10" x14ac:dyDescent="0.3">
      <c r="H47">
        <v>1</v>
      </c>
      <c r="I47">
        <v>2</v>
      </c>
      <c r="J47">
        <v>1</v>
      </c>
    </row>
    <row r="48" spans="1:10" x14ac:dyDescent="0.3">
      <c r="H48">
        <v>1</v>
      </c>
      <c r="I48">
        <v>1</v>
      </c>
    </row>
    <row r="49" spans="8:9" x14ac:dyDescent="0.3">
      <c r="H49">
        <v>2</v>
      </c>
      <c r="I49">
        <v>1</v>
      </c>
    </row>
    <row r="50" spans="8:9" x14ac:dyDescent="0.3">
      <c r="H50">
        <v>2</v>
      </c>
    </row>
    <row r="51" spans="8:9" x14ac:dyDescent="0.3">
      <c r="H51">
        <v>1</v>
      </c>
    </row>
    <row r="52" spans="8:9" x14ac:dyDescent="0.3">
      <c r="H52">
        <v>2</v>
      </c>
    </row>
    <row r="53" spans="8:9" x14ac:dyDescent="0.3">
      <c r="H53">
        <v>1</v>
      </c>
    </row>
  </sheetData>
  <mergeCells count="38">
    <mergeCell ref="B44:C44"/>
    <mergeCell ref="D44:E44"/>
    <mergeCell ref="B41:C41"/>
    <mergeCell ref="D41:E41"/>
    <mergeCell ref="B42:C42"/>
    <mergeCell ref="D42:E42"/>
    <mergeCell ref="B43:C43"/>
    <mergeCell ref="D43:E43"/>
    <mergeCell ref="B38:C38"/>
    <mergeCell ref="D38:E38"/>
    <mergeCell ref="B39:C39"/>
    <mergeCell ref="D39:E39"/>
    <mergeCell ref="B40:C40"/>
    <mergeCell ref="D40:E40"/>
    <mergeCell ref="B34:C34"/>
    <mergeCell ref="D34:E34"/>
    <mergeCell ref="B35:C35"/>
    <mergeCell ref="D35:E35"/>
    <mergeCell ref="A32:A33"/>
    <mergeCell ref="B32:C33"/>
    <mergeCell ref="D32:E33"/>
    <mergeCell ref="F32:F33"/>
    <mergeCell ref="G32:G33"/>
    <mergeCell ref="N12:N14"/>
    <mergeCell ref="O17:Q17"/>
    <mergeCell ref="N18:N20"/>
    <mergeCell ref="E10:F12"/>
    <mergeCell ref="F18:F21"/>
    <mergeCell ref="A18:A21"/>
    <mergeCell ref="B18:B21"/>
    <mergeCell ref="C18:C21"/>
    <mergeCell ref="D18:D21"/>
    <mergeCell ref="E18:E21"/>
    <mergeCell ref="B1:D1"/>
    <mergeCell ref="A2:A4"/>
    <mergeCell ref="O5:Q5"/>
    <mergeCell ref="N6:N8"/>
    <mergeCell ref="O11:Q11"/>
  </mergeCells>
  <conditionalFormatting sqref="H5:J53">
    <cfRule type="cellIs" dxfId="122" priority="5" operator="equal">
      <formula>1</formula>
    </cfRule>
    <cfRule type="cellIs" dxfId="121" priority="6" operator="equal">
      <formula>1.5</formula>
    </cfRule>
    <cfRule type="cellIs" dxfId="120" priority="7" operator="equal">
      <formula>2</formula>
    </cfRule>
  </conditionalFormatting>
  <conditionalFormatting sqref="A43:B44 A45:E46 D42:D44 B42">
    <cfRule type="cellIs" dxfId="35" priority="1" operator="equal">
      <formula>1</formula>
    </cfRule>
    <cfRule type="cellIs" dxfId="34" priority="2" operator="equal">
      <formula>2</formula>
    </cfRule>
    <cfRule type="cellIs" dxfId="33" priority="3" operator="equal">
      <formula>1</formula>
    </cfRule>
    <cfRule type="cellIs" dxfId="32" priority="4" operator="equal">
      <formula>2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FEB8-CD9F-4073-99FB-E0E96998A984}">
  <dimension ref="A1:W53"/>
  <sheetViews>
    <sheetView topLeftCell="A23" workbookViewId="0">
      <selection activeCell="D41" sqref="D41:E41"/>
    </sheetView>
  </sheetViews>
  <sheetFormatPr defaultRowHeight="14.4" x14ac:dyDescent="0.3"/>
  <cols>
    <col min="3" max="3" width="10" customWidth="1"/>
  </cols>
  <sheetData>
    <row r="1" spans="1:23" x14ac:dyDescent="0.3">
      <c r="A1" s="5"/>
      <c r="B1" s="53" t="s">
        <v>90</v>
      </c>
      <c r="C1" s="53"/>
      <c r="D1" s="53"/>
      <c r="E1" s="5"/>
    </row>
    <row r="2" spans="1:23" ht="28.8" x14ac:dyDescent="0.3">
      <c r="A2" s="53" t="s">
        <v>89</v>
      </c>
      <c r="B2" s="5"/>
      <c r="C2" s="5" t="s">
        <v>87</v>
      </c>
      <c r="D2" s="37" t="s">
        <v>70</v>
      </c>
      <c r="E2" s="5" t="s">
        <v>88</v>
      </c>
    </row>
    <row r="3" spans="1:23" x14ac:dyDescent="0.3">
      <c r="A3" s="53"/>
      <c r="B3" s="5" t="s">
        <v>87</v>
      </c>
      <c r="C3" s="7">
        <v>36</v>
      </c>
      <c r="D3" s="7">
        <v>68</v>
      </c>
      <c r="E3" s="7">
        <f>C3+D3</f>
        <v>104</v>
      </c>
    </row>
    <row r="4" spans="1:23" ht="28.8" x14ac:dyDescent="0.3">
      <c r="A4" s="53"/>
      <c r="B4" s="37" t="s">
        <v>70</v>
      </c>
      <c r="C4" s="7">
        <v>69</v>
      </c>
      <c r="D4" s="7">
        <v>25</v>
      </c>
      <c r="E4" s="7">
        <f>C4+D4</f>
        <v>94</v>
      </c>
    </row>
    <row r="5" spans="1:23" x14ac:dyDescent="0.3">
      <c r="A5" s="5" t="s">
        <v>88</v>
      </c>
      <c r="B5" s="5"/>
      <c r="C5" s="7">
        <f>C3+C4</f>
        <v>105</v>
      </c>
      <c r="D5" s="7">
        <f>D3+D4</f>
        <v>93</v>
      </c>
      <c r="E5" s="7">
        <f>E3+E4</f>
        <v>198</v>
      </c>
      <c r="H5">
        <v>2</v>
      </c>
      <c r="I5">
        <v>1</v>
      </c>
      <c r="J5">
        <v>2</v>
      </c>
      <c r="K5">
        <v>1</v>
      </c>
      <c r="L5">
        <v>2</v>
      </c>
      <c r="N5" s="5" t="s">
        <v>113</v>
      </c>
      <c r="O5" s="53" t="s">
        <v>90</v>
      </c>
      <c r="P5" s="53"/>
      <c r="Q5" s="53"/>
      <c r="R5" s="5"/>
      <c r="T5" s="9" t="s">
        <v>83</v>
      </c>
      <c r="U5" s="9" t="s">
        <v>84</v>
      </c>
      <c r="V5" s="9" t="s">
        <v>85</v>
      </c>
      <c r="W5" s="9" t="s">
        <v>86</v>
      </c>
    </row>
    <row r="6" spans="1:23" x14ac:dyDescent="0.3">
      <c r="H6">
        <v>1</v>
      </c>
      <c r="I6">
        <v>1</v>
      </c>
      <c r="J6">
        <v>1</v>
      </c>
      <c r="K6">
        <v>2</v>
      </c>
      <c r="L6">
        <v>1</v>
      </c>
      <c r="N6" s="53" t="s">
        <v>89</v>
      </c>
      <c r="O6" s="5"/>
      <c r="P6" s="5" t="s">
        <v>87</v>
      </c>
      <c r="Q6" s="5" t="s">
        <v>124</v>
      </c>
      <c r="R6" s="5" t="s">
        <v>88</v>
      </c>
      <c r="T6" s="41">
        <f>P7/(P7+Q7)</f>
        <v>0.21739130434782608</v>
      </c>
      <c r="U6" s="41">
        <f>1-T6</f>
        <v>0.78260869565217395</v>
      </c>
      <c r="V6" s="41">
        <f>Q8/(Q8+P8)</f>
        <v>0.28000000000000003</v>
      </c>
      <c r="W6" s="41">
        <f>1-V6</f>
        <v>0.72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2</v>
      </c>
      <c r="I7">
        <v>2</v>
      </c>
      <c r="J7">
        <v>2</v>
      </c>
      <c r="K7">
        <v>2</v>
      </c>
      <c r="L7">
        <v>1</v>
      </c>
      <c r="N7" s="53"/>
      <c r="O7" s="5" t="s">
        <v>87</v>
      </c>
      <c r="P7" s="7">
        <v>5</v>
      </c>
      <c r="Q7" s="7">
        <v>18</v>
      </c>
      <c r="R7" s="7">
        <f>P7+Q7</f>
        <v>23</v>
      </c>
      <c r="T7" t="s">
        <v>116</v>
      </c>
    </row>
    <row r="8" spans="1:23" x14ac:dyDescent="0.3">
      <c r="A8" s="8">
        <f>C3/C5</f>
        <v>0.34285714285714286</v>
      </c>
      <c r="B8" s="8">
        <f>1-A8</f>
        <v>0.65714285714285714</v>
      </c>
      <c r="C8" s="8">
        <f>D4/E4</f>
        <v>0.26595744680851063</v>
      </c>
      <c r="D8" s="8">
        <f>1-C8</f>
        <v>0.73404255319148937</v>
      </c>
      <c r="H8">
        <v>2</v>
      </c>
      <c r="I8">
        <v>1</v>
      </c>
      <c r="J8">
        <v>2</v>
      </c>
      <c r="K8">
        <v>1</v>
      </c>
      <c r="L8">
        <v>2</v>
      </c>
      <c r="N8" s="53"/>
      <c r="O8" s="5" t="s">
        <v>124</v>
      </c>
      <c r="P8" s="7">
        <v>18</v>
      </c>
      <c r="Q8" s="7">
        <v>7</v>
      </c>
      <c r="R8" s="7">
        <f>P8+Q8</f>
        <v>25</v>
      </c>
    </row>
    <row r="9" spans="1:23" x14ac:dyDescent="0.3">
      <c r="H9">
        <v>2</v>
      </c>
      <c r="I9">
        <v>1</v>
      </c>
      <c r="J9">
        <v>1</v>
      </c>
      <c r="K9">
        <v>1</v>
      </c>
      <c r="L9">
        <v>1</v>
      </c>
      <c r="N9" s="5" t="s">
        <v>88</v>
      </c>
      <c r="O9" s="5"/>
      <c r="P9" s="7">
        <f>P7+P8</f>
        <v>23</v>
      </c>
      <c r="Q9" s="7">
        <f>Q7+Q8</f>
        <v>25</v>
      </c>
      <c r="R9" s="7">
        <f>R7+R8</f>
        <v>48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1</v>
      </c>
      <c r="I10">
        <v>2</v>
      </c>
      <c r="J10">
        <v>2</v>
      </c>
      <c r="K10">
        <v>1</v>
      </c>
      <c r="L10">
        <v>2</v>
      </c>
    </row>
    <row r="11" spans="1:23" x14ac:dyDescent="0.3">
      <c r="A11" s="43">
        <f>C3/E3</f>
        <v>0.34615384615384615</v>
      </c>
      <c r="B11" s="43">
        <f>1-A11</f>
        <v>0.65384615384615385</v>
      </c>
      <c r="C11" s="43">
        <f>D4/E4</f>
        <v>0.26595744680851063</v>
      </c>
      <c r="D11" s="43">
        <f>1-C11</f>
        <v>0.73404255319148937</v>
      </c>
      <c r="E11" s="59"/>
      <c r="F11" s="59"/>
      <c r="H11">
        <v>2</v>
      </c>
      <c r="I11">
        <v>1</v>
      </c>
      <c r="J11">
        <v>2</v>
      </c>
      <c r="K11">
        <v>1</v>
      </c>
      <c r="L11">
        <v>1</v>
      </c>
      <c r="N11" s="5" t="s">
        <v>114</v>
      </c>
      <c r="O11" s="53" t="s">
        <v>90</v>
      </c>
      <c r="P11" s="53"/>
      <c r="Q11" s="53"/>
      <c r="R11" s="5"/>
      <c r="T11" s="9" t="s">
        <v>83</v>
      </c>
      <c r="U11" s="9" t="s">
        <v>84</v>
      </c>
      <c r="V11" s="9" t="s">
        <v>85</v>
      </c>
      <c r="W11" s="9" t="s">
        <v>86</v>
      </c>
    </row>
    <row r="12" spans="1:23" x14ac:dyDescent="0.3">
      <c r="E12" s="59"/>
      <c r="F12" s="59"/>
      <c r="H12">
        <v>1</v>
      </c>
      <c r="I12">
        <v>2</v>
      </c>
      <c r="J12">
        <v>2</v>
      </c>
      <c r="K12">
        <v>2</v>
      </c>
      <c r="L12">
        <v>2</v>
      </c>
      <c r="N12" s="53" t="s">
        <v>89</v>
      </c>
      <c r="O12" s="5"/>
      <c r="P12" s="5" t="s">
        <v>87</v>
      </c>
      <c r="Q12" s="5" t="s">
        <v>124</v>
      </c>
      <c r="R12" s="5" t="s">
        <v>88</v>
      </c>
      <c r="T12" s="41">
        <f>P13/(P13+Q13)</f>
        <v>0.36</v>
      </c>
      <c r="U12" s="41">
        <f>1-T12</f>
        <v>0.64</v>
      </c>
      <c r="V12" s="41">
        <f>Q14/(Q14+P14)</f>
        <v>0.15789473684210525</v>
      </c>
      <c r="W12" s="41">
        <f>1-V12</f>
        <v>0.84210526315789469</v>
      </c>
    </row>
    <row r="13" spans="1:23" x14ac:dyDescent="0.3">
      <c r="H13">
        <v>1</v>
      </c>
      <c r="I13">
        <v>1</v>
      </c>
      <c r="J13">
        <v>1</v>
      </c>
      <c r="K13">
        <v>1</v>
      </c>
      <c r="L13">
        <v>2</v>
      </c>
      <c r="N13" s="53"/>
      <c r="O13" s="5" t="s">
        <v>87</v>
      </c>
      <c r="P13" s="7">
        <v>9</v>
      </c>
      <c r="Q13" s="7">
        <v>16</v>
      </c>
      <c r="R13" s="7">
        <f>P13+Q13</f>
        <v>25</v>
      </c>
    </row>
    <row r="14" spans="1:23" x14ac:dyDescent="0.3">
      <c r="H14">
        <v>2</v>
      </c>
      <c r="I14">
        <v>2</v>
      </c>
      <c r="J14">
        <v>2</v>
      </c>
      <c r="K14">
        <v>2</v>
      </c>
      <c r="L14">
        <v>2</v>
      </c>
      <c r="N14" s="53"/>
      <c r="O14" s="5" t="s">
        <v>124</v>
      </c>
      <c r="P14" s="7">
        <v>16</v>
      </c>
      <c r="Q14" s="7">
        <v>3</v>
      </c>
      <c r="R14" s="7">
        <f>P14+Q14</f>
        <v>19</v>
      </c>
    </row>
    <row r="15" spans="1:23" x14ac:dyDescent="0.3">
      <c r="H15">
        <v>2</v>
      </c>
      <c r="I15">
        <v>1</v>
      </c>
      <c r="J15">
        <v>2</v>
      </c>
      <c r="K15">
        <v>1</v>
      </c>
      <c r="L15">
        <v>1</v>
      </c>
      <c r="N15" s="5" t="s">
        <v>88</v>
      </c>
      <c r="O15" s="5"/>
      <c r="P15" s="7">
        <f>P13+P14</f>
        <v>25</v>
      </c>
      <c r="Q15" s="7">
        <f>Q13+Q14</f>
        <v>19</v>
      </c>
      <c r="R15" s="7">
        <f>R13+R14</f>
        <v>44</v>
      </c>
    </row>
    <row r="16" spans="1:23" x14ac:dyDescent="0.3">
      <c r="H16">
        <v>1</v>
      </c>
      <c r="I16">
        <v>2</v>
      </c>
      <c r="J16">
        <v>2</v>
      </c>
      <c r="K16">
        <v>1</v>
      </c>
      <c r="L16">
        <v>1</v>
      </c>
    </row>
    <row r="17" spans="1:23" x14ac:dyDescent="0.3">
      <c r="H17">
        <v>2</v>
      </c>
      <c r="I17">
        <v>2</v>
      </c>
      <c r="J17">
        <v>1</v>
      </c>
      <c r="K17">
        <v>1</v>
      </c>
      <c r="L17">
        <v>1</v>
      </c>
      <c r="N17" s="5" t="s">
        <v>115</v>
      </c>
      <c r="O17" s="53" t="s">
        <v>90</v>
      </c>
      <c r="P17" s="53"/>
      <c r="Q17" s="53"/>
      <c r="R17" s="5"/>
      <c r="T17" s="9" t="s">
        <v>83</v>
      </c>
      <c r="U17" s="9" t="s">
        <v>84</v>
      </c>
      <c r="V17" s="9" t="s">
        <v>85</v>
      </c>
      <c r="W17" s="9" t="s">
        <v>86</v>
      </c>
    </row>
    <row r="18" spans="1:23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2</v>
      </c>
      <c r="I18">
        <v>1</v>
      </c>
      <c r="J18">
        <v>1</v>
      </c>
      <c r="K18">
        <v>1</v>
      </c>
      <c r="L18">
        <v>2</v>
      </c>
      <c r="N18" s="53" t="s">
        <v>89</v>
      </c>
      <c r="O18" s="5"/>
      <c r="P18" s="5" t="s">
        <v>87</v>
      </c>
      <c r="Q18" s="5" t="s">
        <v>124</v>
      </c>
      <c r="R18" s="5" t="s">
        <v>88</v>
      </c>
      <c r="T18" s="41">
        <f>P19/(P19+Q19)</f>
        <v>0.17647058823529413</v>
      </c>
      <c r="U18" s="41">
        <f>1-T18</f>
        <v>0.82352941176470584</v>
      </c>
      <c r="V18" s="41">
        <f>Q20/(Q20+P20)</f>
        <v>0.44</v>
      </c>
      <c r="W18" s="41">
        <f>1-V18</f>
        <v>0.56000000000000005</v>
      </c>
    </row>
    <row r="19" spans="1:23" x14ac:dyDescent="0.3">
      <c r="A19" s="54"/>
      <c r="B19" s="54"/>
      <c r="C19" s="69"/>
      <c r="D19" s="54"/>
      <c r="E19" s="54"/>
      <c r="F19" s="54"/>
      <c r="H19">
        <v>2</v>
      </c>
      <c r="I19">
        <v>2</v>
      </c>
      <c r="J19">
        <v>2</v>
      </c>
      <c r="K19">
        <v>2</v>
      </c>
      <c r="L19">
        <v>1</v>
      </c>
      <c r="N19" s="53"/>
      <c r="O19" s="5" t="s">
        <v>87</v>
      </c>
      <c r="P19" s="7">
        <v>3</v>
      </c>
      <c r="Q19" s="7">
        <v>14</v>
      </c>
      <c r="R19" s="7">
        <f>P19+Q19</f>
        <v>17</v>
      </c>
    </row>
    <row r="20" spans="1:23" x14ac:dyDescent="0.3">
      <c r="A20" s="54"/>
      <c r="B20" s="54"/>
      <c r="C20" s="69"/>
      <c r="D20" s="54"/>
      <c r="E20" s="54"/>
      <c r="F20" s="54"/>
      <c r="H20">
        <v>1</v>
      </c>
      <c r="I20">
        <v>1</v>
      </c>
      <c r="J20">
        <v>2</v>
      </c>
      <c r="K20">
        <v>1</v>
      </c>
      <c r="L20">
        <v>2</v>
      </c>
      <c r="N20" s="53"/>
      <c r="O20" s="5" t="s">
        <v>124</v>
      </c>
      <c r="P20" s="7">
        <v>14</v>
      </c>
      <c r="Q20" s="7">
        <v>11</v>
      </c>
      <c r="R20" s="7">
        <f>P20+Q20</f>
        <v>25</v>
      </c>
    </row>
    <row r="21" spans="1:23" x14ac:dyDescent="0.3">
      <c r="A21" s="54"/>
      <c r="B21" s="54"/>
      <c r="C21" s="70"/>
      <c r="D21" s="54"/>
      <c r="E21" s="54"/>
      <c r="F21" s="54"/>
      <c r="H21">
        <v>1</v>
      </c>
      <c r="I21">
        <v>2</v>
      </c>
      <c r="J21">
        <v>1</v>
      </c>
      <c r="K21">
        <v>1</v>
      </c>
      <c r="L21">
        <v>1</v>
      </c>
      <c r="N21" s="5" t="s">
        <v>88</v>
      </c>
      <c r="O21" s="5"/>
      <c r="P21" s="7">
        <f>P19+P20</f>
        <v>17</v>
      </c>
      <c r="Q21" s="7">
        <f>Q19+Q20</f>
        <v>25</v>
      </c>
      <c r="R21" s="7">
        <f>R19+R20</f>
        <v>42</v>
      </c>
    </row>
    <row r="22" spans="1:23" x14ac:dyDescent="0.3">
      <c r="A22" s="37">
        <v>1</v>
      </c>
      <c r="B22" s="37">
        <v>98</v>
      </c>
      <c r="C22" s="40">
        <f>($C$4*$D$11*$A$11^0)+($D$3*$B$11*$C$11^0)</f>
        <v>95.110474631751231</v>
      </c>
      <c r="D22" s="37">
        <v>103.426</v>
      </c>
      <c r="E22" s="5" t="s">
        <v>125</v>
      </c>
      <c r="F22" s="5" t="s">
        <v>125</v>
      </c>
      <c r="H22">
        <v>1</v>
      </c>
      <c r="I22">
        <v>1</v>
      </c>
      <c r="J22">
        <v>2</v>
      </c>
      <c r="K22">
        <v>1</v>
      </c>
      <c r="L22">
        <v>2</v>
      </c>
    </row>
    <row r="23" spans="1:23" x14ac:dyDescent="0.3">
      <c r="A23" s="37">
        <v>2</v>
      </c>
      <c r="B23" s="37">
        <v>25</v>
      </c>
      <c r="C23" s="40">
        <f>($C$4*$D$11*$A$11^1)+($D$3*$B$11*$C$11^1)</f>
        <v>29.357201309328964</v>
      </c>
      <c r="D23" s="37">
        <v>26.102</v>
      </c>
      <c r="E23" s="5" t="s">
        <v>125</v>
      </c>
      <c r="F23" s="5" t="s">
        <v>125</v>
      </c>
      <c r="H23">
        <v>2</v>
      </c>
      <c r="I23">
        <v>1</v>
      </c>
      <c r="J23">
        <v>2</v>
      </c>
      <c r="K23">
        <v>1</v>
      </c>
      <c r="L23">
        <v>1</v>
      </c>
      <c r="N23" s="5" t="s">
        <v>117</v>
      </c>
      <c r="O23" s="53" t="s">
        <v>90</v>
      </c>
      <c r="P23" s="53"/>
      <c r="Q23" s="53"/>
      <c r="R23" s="5"/>
      <c r="T23" s="9" t="s">
        <v>83</v>
      </c>
      <c r="U23" s="9" t="s">
        <v>84</v>
      </c>
      <c r="V23" s="9" t="s">
        <v>85</v>
      </c>
      <c r="W23" s="9" t="s">
        <v>86</v>
      </c>
    </row>
    <row r="24" spans="1:23" x14ac:dyDescent="0.3">
      <c r="A24" s="37">
        <v>3</v>
      </c>
      <c r="B24" s="37">
        <v>10</v>
      </c>
      <c r="C24" s="40">
        <f>($C$4*$D$11*$A$11^2)+($D$3*$B$11*$C$11^2)</f>
        <v>9.2137955673535643</v>
      </c>
      <c r="D24" s="37">
        <v>7.4790000000000001</v>
      </c>
      <c r="E24" s="37">
        <v>5</v>
      </c>
      <c r="F24" s="5">
        <v>5</v>
      </c>
      <c r="H24">
        <v>1</v>
      </c>
      <c r="I24">
        <v>2</v>
      </c>
      <c r="J24">
        <v>2</v>
      </c>
      <c r="K24">
        <v>2</v>
      </c>
      <c r="L24">
        <v>2</v>
      </c>
      <c r="N24" s="53" t="s">
        <v>89</v>
      </c>
      <c r="O24" s="5"/>
      <c r="P24" s="5" t="s">
        <v>87</v>
      </c>
      <c r="Q24" s="5" t="s">
        <v>124</v>
      </c>
      <c r="R24" s="5" t="s">
        <v>88</v>
      </c>
      <c r="T24" s="41">
        <f>P25/(P25+Q25)</f>
        <v>0.6</v>
      </c>
      <c r="U24" s="41">
        <f>1-T24</f>
        <v>0.4</v>
      </c>
      <c r="V24" s="40">
        <f>Q26/(Q26+P26)</f>
        <v>0.16666666666666666</v>
      </c>
      <c r="W24" s="40">
        <f>1-V24</f>
        <v>0.83333333333333337</v>
      </c>
    </row>
    <row r="25" spans="1:23" x14ac:dyDescent="0.3">
      <c r="A25" s="37">
        <v>4</v>
      </c>
      <c r="B25" s="37">
        <v>5</v>
      </c>
      <c r="C25" s="40">
        <f>($C$4*$D$11*$A$11^3)+($D$3*$B$11*$C$11^3)</f>
        <v>2.9371799812446455</v>
      </c>
      <c r="D25" s="37">
        <v>2.452</v>
      </c>
      <c r="E25" s="5">
        <v>4</v>
      </c>
      <c r="F25" s="5">
        <v>1</v>
      </c>
      <c r="H25">
        <v>2</v>
      </c>
      <c r="I25">
        <v>2</v>
      </c>
      <c r="J25">
        <v>2</v>
      </c>
      <c r="K25">
        <v>1</v>
      </c>
      <c r="L25">
        <v>1</v>
      </c>
      <c r="N25" s="53"/>
      <c r="O25" s="5" t="s">
        <v>87</v>
      </c>
      <c r="P25" s="7">
        <v>15</v>
      </c>
      <c r="Q25" s="7">
        <v>10</v>
      </c>
      <c r="R25" s="7">
        <f>P25+Q25</f>
        <v>25</v>
      </c>
    </row>
    <row r="26" spans="1:23" x14ac:dyDescent="0.3">
      <c r="A26" s="37">
        <v>5</v>
      </c>
      <c r="B26" s="37">
        <v>0</v>
      </c>
      <c r="C26" s="40">
        <f>($C$4*$D$11*$A$11^4)+($D$3*$B$11*$C$11^4)</f>
        <v>0.94963880903741305</v>
      </c>
      <c r="D26" s="37">
        <v>0.99299999999999999</v>
      </c>
      <c r="E26" s="5">
        <v>0</v>
      </c>
      <c r="F26" s="5">
        <v>0</v>
      </c>
      <c r="H26">
        <v>1</v>
      </c>
      <c r="I26">
        <v>1</v>
      </c>
      <c r="J26">
        <v>1</v>
      </c>
      <c r="K26">
        <v>2</v>
      </c>
      <c r="L26">
        <v>2</v>
      </c>
      <c r="N26" s="53"/>
      <c r="O26" s="5" t="s">
        <v>124</v>
      </c>
      <c r="P26" s="7">
        <v>10</v>
      </c>
      <c r="Q26" s="7">
        <v>2</v>
      </c>
      <c r="R26" s="7">
        <f>P26+Q26</f>
        <v>12</v>
      </c>
    </row>
    <row r="27" spans="1:23" x14ac:dyDescent="0.3">
      <c r="A27" s="37">
        <v>6</v>
      </c>
      <c r="B27" s="37">
        <v>0</v>
      </c>
      <c r="C27" s="40">
        <f>($C$4*$D$11*$A$11^5)+($D$3*$B$11*$C$11^5)</f>
        <v>0.31088140856789065</v>
      </c>
      <c r="D27" s="37">
        <v>0.40899999999999997</v>
      </c>
      <c r="E27" s="5">
        <v>0</v>
      </c>
      <c r="F27" s="5">
        <v>0</v>
      </c>
      <c r="H27">
        <v>2</v>
      </c>
      <c r="I27">
        <v>2</v>
      </c>
      <c r="J27">
        <v>2</v>
      </c>
      <c r="K27">
        <v>1</v>
      </c>
      <c r="L27">
        <v>1</v>
      </c>
      <c r="N27" s="5" t="s">
        <v>88</v>
      </c>
      <c r="O27" s="5"/>
      <c r="P27" s="7">
        <f>P25+P26</f>
        <v>25</v>
      </c>
      <c r="Q27" s="7">
        <f>Q25+Q26</f>
        <v>12</v>
      </c>
      <c r="R27" s="7">
        <f>R25+R26</f>
        <v>37</v>
      </c>
    </row>
    <row r="28" spans="1:23" x14ac:dyDescent="0.3">
      <c r="A28" s="37">
        <v>7</v>
      </c>
      <c r="B28" s="37">
        <v>0</v>
      </c>
      <c r="C28" s="40">
        <f>($C$4*$D$11*$A$11^6)+($D$3*$B$11*$C$11^6)</f>
        <v>0.10286818951888155</v>
      </c>
      <c r="D28" s="37">
        <v>0.17899999999999999</v>
      </c>
      <c r="E28" s="5">
        <v>0</v>
      </c>
      <c r="F28" s="5">
        <v>0</v>
      </c>
      <c r="H28">
        <v>1</v>
      </c>
      <c r="I28">
        <v>1</v>
      </c>
      <c r="J28">
        <v>2</v>
      </c>
      <c r="K28">
        <v>1</v>
      </c>
      <c r="L28">
        <v>2</v>
      </c>
    </row>
    <row r="29" spans="1:23" x14ac:dyDescent="0.3">
      <c r="A29" s="37">
        <v>8</v>
      </c>
      <c r="B29" s="37">
        <v>0</v>
      </c>
      <c r="C29" s="40">
        <f>($C$4*$D$11*$A$11^7)+($D$3*$B$11*$C$11^7)</f>
        <v>3.4346356216232159E-2</v>
      </c>
      <c r="D29" s="37">
        <v>8.8999999999999996E-2</v>
      </c>
      <c r="E29" s="5">
        <v>0</v>
      </c>
      <c r="F29" s="5">
        <v>0</v>
      </c>
      <c r="H29">
        <v>2</v>
      </c>
      <c r="I29">
        <v>1</v>
      </c>
      <c r="J29">
        <v>1</v>
      </c>
      <c r="K29">
        <v>1</v>
      </c>
      <c r="L29">
        <v>1</v>
      </c>
      <c r="N29" s="5" t="s">
        <v>118</v>
      </c>
      <c r="O29" s="53" t="s">
        <v>90</v>
      </c>
      <c r="P29" s="53"/>
      <c r="Q29" s="53"/>
      <c r="R29" s="5"/>
      <c r="T29" s="9" t="s">
        <v>83</v>
      </c>
      <c r="U29" s="9" t="s">
        <v>84</v>
      </c>
      <c r="V29" s="9" t="s">
        <v>85</v>
      </c>
      <c r="W29" s="9" t="s">
        <v>86</v>
      </c>
    </row>
    <row r="30" spans="1:23" x14ac:dyDescent="0.3">
      <c r="A30" s="37" t="s">
        <v>103</v>
      </c>
      <c r="B30" s="37">
        <v>0</v>
      </c>
      <c r="C30" s="40">
        <f>($C$4*$D$11*$A$11^8)+($D$3*$B$11*$C$11^8)</f>
        <v>1.1553521382051946E-2</v>
      </c>
      <c r="D30" s="37">
        <v>7.5999999999999998E-2</v>
      </c>
      <c r="E30" s="5">
        <v>0</v>
      </c>
      <c r="F30" s="5">
        <v>0</v>
      </c>
      <c r="H30">
        <v>1</v>
      </c>
      <c r="I30">
        <v>2</v>
      </c>
      <c r="J30">
        <v>2</v>
      </c>
      <c r="K30">
        <v>2</v>
      </c>
      <c r="L30">
        <v>2</v>
      </c>
      <c r="N30" s="53" t="s">
        <v>89</v>
      </c>
      <c r="O30" s="5"/>
      <c r="P30" s="5" t="s">
        <v>87</v>
      </c>
      <c r="Q30" s="5" t="s">
        <v>124</v>
      </c>
      <c r="R30" s="5" t="s">
        <v>88</v>
      </c>
      <c r="T30" s="41">
        <f>P31/(P31+Q31)</f>
        <v>0.2857142857142857</v>
      </c>
      <c r="U30" s="41">
        <f>1-T30</f>
        <v>0.7142857142857143</v>
      </c>
      <c r="V30" s="40">
        <f>Q32/(Q32+P32)</f>
        <v>0.15384615384615385</v>
      </c>
      <c r="W30" s="40">
        <f>1-V30</f>
        <v>0.84615384615384615</v>
      </c>
    </row>
    <row r="31" spans="1:23" x14ac:dyDescent="0.3">
      <c r="H31">
        <v>2</v>
      </c>
      <c r="I31">
        <v>1</v>
      </c>
      <c r="J31">
        <v>2</v>
      </c>
      <c r="K31">
        <v>1</v>
      </c>
      <c r="L31">
        <v>1</v>
      </c>
      <c r="N31" s="53"/>
      <c r="O31" s="5" t="s">
        <v>87</v>
      </c>
      <c r="P31" s="7">
        <v>4</v>
      </c>
      <c r="Q31" s="7">
        <v>10</v>
      </c>
      <c r="R31" s="7">
        <f>P31+Q31</f>
        <v>14</v>
      </c>
    </row>
    <row r="32" spans="1:23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2</v>
      </c>
      <c r="I32">
        <v>1</v>
      </c>
      <c r="J32">
        <v>1</v>
      </c>
      <c r="K32">
        <v>1</v>
      </c>
      <c r="L32">
        <v>1</v>
      </c>
      <c r="N32" s="53"/>
      <c r="O32" s="5" t="s">
        <v>124</v>
      </c>
      <c r="P32" s="7">
        <v>11</v>
      </c>
      <c r="Q32" s="7">
        <v>2</v>
      </c>
      <c r="R32" s="7">
        <f>P32+Q32</f>
        <v>13</v>
      </c>
    </row>
    <row r="33" spans="1:18" x14ac:dyDescent="0.3">
      <c r="A33" s="53"/>
      <c r="B33" s="54"/>
      <c r="C33" s="54"/>
      <c r="D33" s="54"/>
      <c r="E33" s="54"/>
      <c r="F33" s="53"/>
      <c r="G33" s="53"/>
      <c r="H33">
        <v>1</v>
      </c>
      <c r="I33">
        <v>2</v>
      </c>
      <c r="J33">
        <v>2</v>
      </c>
      <c r="K33">
        <v>1</v>
      </c>
      <c r="N33" s="5" t="s">
        <v>88</v>
      </c>
      <c r="O33" s="5"/>
      <c r="P33" s="7">
        <f>P31+P32</f>
        <v>15</v>
      </c>
      <c r="Q33" s="7">
        <f>Q31+Q32</f>
        <v>12</v>
      </c>
      <c r="R33" s="7">
        <f>R31+R32</f>
        <v>27</v>
      </c>
    </row>
    <row r="34" spans="1:18" x14ac:dyDescent="0.3">
      <c r="A34" s="5" t="s">
        <v>87</v>
      </c>
      <c r="B34" s="64">
        <f>E24+E25+E26+E27+E28+E29+E30</f>
        <v>9</v>
      </c>
      <c r="C34" s="65"/>
      <c r="D34" s="66">
        <f>E24*1+E25*2+E26*3+E27*4+E28*5+E29*6+E30*7</f>
        <v>13</v>
      </c>
      <c r="E34" s="67"/>
      <c r="F34" s="48">
        <f>B34/D34</f>
        <v>0.69230769230769229</v>
      </c>
      <c r="G34" s="49">
        <f>F34</f>
        <v>0.69230769230769229</v>
      </c>
      <c r="H34">
        <v>2</v>
      </c>
      <c r="I34">
        <v>1</v>
      </c>
      <c r="J34">
        <v>1</v>
      </c>
      <c r="K34">
        <v>2</v>
      </c>
    </row>
    <row r="35" spans="1:18" x14ac:dyDescent="0.3">
      <c r="A35" s="5" t="s">
        <v>124</v>
      </c>
      <c r="B35" s="64">
        <f>F24+F25+F26+F27+F28+F29+F30</f>
        <v>6</v>
      </c>
      <c r="C35" s="65"/>
      <c r="D35" s="66">
        <f>F24*1+F25*2+F26*3+F27*4+F28*5+F29*6+F30*7</f>
        <v>7</v>
      </c>
      <c r="E35" s="67"/>
      <c r="F35" s="48">
        <f>B35/D35</f>
        <v>0.8571428571428571</v>
      </c>
      <c r="G35" s="49">
        <f>F35</f>
        <v>0.8571428571428571</v>
      </c>
      <c r="H35">
        <v>1</v>
      </c>
      <c r="I35">
        <v>1</v>
      </c>
      <c r="J35">
        <v>1</v>
      </c>
      <c r="K35">
        <v>1</v>
      </c>
    </row>
    <row r="36" spans="1:18" x14ac:dyDescent="0.3">
      <c r="H36">
        <v>2</v>
      </c>
      <c r="I36">
        <v>1</v>
      </c>
      <c r="J36">
        <v>2</v>
      </c>
      <c r="K36">
        <v>2</v>
      </c>
    </row>
    <row r="37" spans="1:18" x14ac:dyDescent="0.3">
      <c r="H37">
        <v>1</v>
      </c>
      <c r="I37">
        <v>1</v>
      </c>
      <c r="J37">
        <v>1</v>
      </c>
      <c r="K37">
        <v>2</v>
      </c>
    </row>
    <row r="38" spans="1:18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2</v>
      </c>
      <c r="I38">
        <v>2</v>
      </c>
      <c r="J38">
        <v>2</v>
      </c>
      <c r="K38">
        <v>1</v>
      </c>
    </row>
    <row r="39" spans="1:18" x14ac:dyDescent="0.3">
      <c r="A39" s="80" t="s">
        <v>87</v>
      </c>
      <c r="B39" s="83">
        <v>9</v>
      </c>
      <c r="C39" s="83"/>
      <c r="D39" s="92">
        <v>36</v>
      </c>
      <c r="E39" s="92"/>
      <c r="F39" s="82">
        <f>SUM(B39+D39)</f>
        <v>45</v>
      </c>
      <c r="H39">
        <v>1</v>
      </c>
      <c r="I39">
        <v>1</v>
      </c>
      <c r="J39">
        <v>1</v>
      </c>
      <c r="K39">
        <v>1</v>
      </c>
    </row>
    <row r="40" spans="1:18" x14ac:dyDescent="0.3">
      <c r="A40" s="80" t="s">
        <v>124</v>
      </c>
      <c r="B40" s="83">
        <v>6</v>
      </c>
      <c r="C40" s="83"/>
      <c r="D40" s="92">
        <v>25</v>
      </c>
      <c r="E40" s="92"/>
      <c r="F40" s="82">
        <f>SUM(B40+D40)</f>
        <v>31</v>
      </c>
      <c r="H40">
        <v>1</v>
      </c>
      <c r="I40">
        <v>2</v>
      </c>
      <c r="J40">
        <v>2</v>
      </c>
      <c r="K40">
        <v>2</v>
      </c>
    </row>
    <row r="41" spans="1:18" x14ac:dyDescent="0.3">
      <c r="A41" s="85"/>
      <c r="B41" s="86">
        <f>SUM(B39:B40)</f>
        <v>15</v>
      </c>
      <c r="C41" s="86"/>
      <c r="D41" s="87">
        <f>SUM(D39:D40)</f>
        <v>61</v>
      </c>
      <c r="E41" s="87"/>
      <c r="F41" s="82">
        <f>SUM(F39:F40)</f>
        <v>76</v>
      </c>
      <c r="H41">
        <v>1</v>
      </c>
      <c r="I41">
        <v>1</v>
      </c>
      <c r="J41">
        <v>1</v>
      </c>
      <c r="K41">
        <v>1</v>
      </c>
    </row>
    <row r="42" spans="1:18" x14ac:dyDescent="0.3">
      <c r="A42" s="40"/>
      <c r="B42" s="84" t="s">
        <v>134</v>
      </c>
      <c r="C42" s="84"/>
      <c r="D42" s="84" t="s">
        <v>132</v>
      </c>
      <c r="E42" s="84"/>
      <c r="F42" s="73"/>
      <c r="H42">
        <v>2</v>
      </c>
      <c r="I42">
        <v>2</v>
      </c>
      <c r="J42">
        <v>2</v>
      </c>
      <c r="K42">
        <v>1</v>
      </c>
    </row>
    <row r="43" spans="1:18" x14ac:dyDescent="0.3">
      <c r="A43" s="82" t="s">
        <v>87</v>
      </c>
      <c r="B43" s="81">
        <f>B41*F39/F41</f>
        <v>8.8815789473684212</v>
      </c>
      <c r="C43" s="81"/>
      <c r="D43" s="81">
        <f>D41*F39/F41</f>
        <v>36.118421052631582</v>
      </c>
      <c r="E43" s="81"/>
      <c r="F43" s="73"/>
      <c r="H43">
        <v>1</v>
      </c>
      <c r="I43">
        <v>2</v>
      </c>
      <c r="J43">
        <v>1</v>
      </c>
    </row>
    <row r="44" spans="1:18" x14ac:dyDescent="0.3">
      <c r="A44" s="82" t="s">
        <v>124</v>
      </c>
      <c r="B44" s="81">
        <f>B41*F40/F41</f>
        <v>6.1184210526315788</v>
      </c>
      <c r="C44" s="81"/>
      <c r="D44" s="81">
        <f>D41*F40/F41</f>
        <v>24.881578947368421</v>
      </c>
      <c r="E44" s="81"/>
      <c r="F44" s="73"/>
      <c r="H44">
        <v>2</v>
      </c>
      <c r="I44">
        <v>1</v>
      </c>
      <c r="J44">
        <v>2</v>
      </c>
    </row>
    <row r="45" spans="1:18" x14ac:dyDescent="0.3">
      <c r="A45" s="88"/>
      <c r="B45" s="88"/>
      <c r="C45" s="88"/>
      <c r="D45" s="88"/>
      <c r="E45" s="88"/>
      <c r="F45" s="73"/>
      <c r="H45">
        <v>1</v>
      </c>
      <c r="I45">
        <v>1</v>
      </c>
      <c r="J45">
        <v>1</v>
      </c>
    </row>
    <row r="46" spans="1:18" x14ac:dyDescent="0.3">
      <c r="A46" s="88" t="s">
        <v>135</v>
      </c>
      <c r="B46" s="89">
        <f>CHITEST(B39:E40,B43:E44)</f>
        <v>0.99991105009325976</v>
      </c>
      <c r="C46" s="88"/>
      <c r="D46" s="88"/>
      <c r="E46" s="88"/>
      <c r="F46" s="73"/>
      <c r="H46">
        <v>2</v>
      </c>
      <c r="I46">
        <v>2</v>
      </c>
      <c r="J46">
        <v>1</v>
      </c>
    </row>
    <row r="47" spans="1:18" x14ac:dyDescent="0.3">
      <c r="H47">
        <v>1</v>
      </c>
      <c r="I47">
        <v>1</v>
      </c>
      <c r="J47">
        <v>2</v>
      </c>
    </row>
    <row r="48" spans="1:18" x14ac:dyDescent="0.3">
      <c r="H48">
        <v>2</v>
      </c>
      <c r="I48">
        <v>2</v>
      </c>
    </row>
    <row r="49" spans="8:9" x14ac:dyDescent="0.3">
      <c r="H49">
        <v>2</v>
      </c>
      <c r="I49">
        <v>1</v>
      </c>
    </row>
    <row r="50" spans="8:9" x14ac:dyDescent="0.3">
      <c r="H50">
        <v>1</v>
      </c>
    </row>
    <row r="51" spans="8:9" x14ac:dyDescent="0.3">
      <c r="H51">
        <v>2</v>
      </c>
    </row>
    <row r="52" spans="8:9" x14ac:dyDescent="0.3">
      <c r="H52">
        <v>1</v>
      </c>
    </row>
    <row r="53" spans="8:9" x14ac:dyDescent="0.3">
      <c r="H53">
        <v>2</v>
      </c>
    </row>
  </sheetData>
  <mergeCells count="42">
    <mergeCell ref="B44:C44"/>
    <mergeCell ref="D44:E44"/>
    <mergeCell ref="B41:C41"/>
    <mergeCell ref="D41:E41"/>
    <mergeCell ref="B42:C42"/>
    <mergeCell ref="D42:E42"/>
    <mergeCell ref="B43:C43"/>
    <mergeCell ref="D43:E43"/>
    <mergeCell ref="B38:C38"/>
    <mergeCell ref="D38:E38"/>
    <mergeCell ref="B39:C39"/>
    <mergeCell ref="D39:E39"/>
    <mergeCell ref="B40:C40"/>
    <mergeCell ref="D40:E40"/>
    <mergeCell ref="B34:C34"/>
    <mergeCell ref="D34:E34"/>
    <mergeCell ref="B35:C35"/>
    <mergeCell ref="D35:E35"/>
    <mergeCell ref="A32:A33"/>
    <mergeCell ref="B32:C33"/>
    <mergeCell ref="D32:E33"/>
    <mergeCell ref="F32:F33"/>
    <mergeCell ref="G32:G33"/>
    <mergeCell ref="N24:N26"/>
    <mergeCell ref="O29:Q29"/>
    <mergeCell ref="N30:N32"/>
    <mergeCell ref="O23:Q23"/>
    <mergeCell ref="E18:E21"/>
    <mergeCell ref="F18:F21"/>
    <mergeCell ref="B1:D1"/>
    <mergeCell ref="A2:A4"/>
    <mergeCell ref="O5:Q5"/>
    <mergeCell ref="N6:N8"/>
    <mergeCell ref="O11:Q11"/>
    <mergeCell ref="E10:F12"/>
    <mergeCell ref="N12:N14"/>
    <mergeCell ref="O17:Q17"/>
    <mergeCell ref="N18:N20"/>
    <mergeCell ref="A18:A21"/>
    <mergeCell ref="B18:B21"/>
    <mergeCell ref="C18:C21"/>
    <mergeCell ref="D18:D21"/>
  </mergeCells>
  <conditionalFormatting sqref="H5:L53">
    <cfRule type="cellIs" dxfId="119" priority="5" operator="equal">
      <formula>1</formula>
    </cfRule>
    <cfRule type="cellIs" dxfId="118" priority="6" operator="equal">
      <formula>2</formula>
    </cfRule>
  </conditionalFormatting>
  <conditionalFormatting sqref="A43:B44 A45:E46 D42:D44 B42">
    <cfRule type="cellIs" dxfId="31" priority="1" operator="equal">
      <formula>1</formula>
    </cfRule>
    <cfRule type="cellIs" dxfId="30" priority="2" operator="equal">
      <formula>2</formula>
    </cfRule>
    <cfRule type="cellIs" dxfId="29" priority="3" operator="equal">
      <formula>1</formula>
    </cfRule>
    <cfRule type="cellIs" dxfId="28" priority="4" operator="equal">
      <formula>2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D041-9364-4A56-A788-82A4E98399B2}">
  <dimension ref="A1:W59"/>
  <sheetViews>
    <sheetView topLeftCell="A22" workbookViewId="0">
      <selection activeCell="D41" sqref="D41:E41"/>
    </sheetView>
  </sheetViews>
  <sheetFormatPr defaultRowHeight="14.4" x14ac:dyDescent="0.3"/>
  <cols>
    <col min="1" max="1" width="9.33203125" customWidth="1"/>
    <col min="3" max="3" width="9.77734375" customWidth="1"/>
  </cols>
  <sheetData>
    <row r="1" spans="1:23" x14ac:dyDescent="0.3">
      <c r="A1" s="5"/>
      <c r="B1" s="53" t="s">
        <v>90</v>
      </c>
      <c r="C1" s="53"/>
      <c r="D1" s="53"/>
      <c r="E1" s="5"/>
      <c r="H1">
        <v>2</v>
      </c>
      <c r="I1">
        <v>1</v>
      </c>
      <c r="J1">
        <v>2</v>
      </c>
      <c r="N1" s="5" t="s">
        <v>113</v>
      </c>
      <c r="O1" s="53" t="s">
        <v>90</v>
      </c>
      <c r="P1" s="53"/>
      <c r="Q1" s="53"/>
      <c r="R1" s="5"/>
      <c r="T1" s="9" t="s">
        <v>83</v>
      </c>
      <c r="U1" s="9" t="s">
        <v>84</v>
      </c>
      <c r="V1" s="9" t="s">
        <v>85</v>
      </c>
      <c r="W1" s="9" t="s">
        <v>86</v>
      </c>
    </row>
    <row r="2" spans="1:23" x14ac:dyDescent="0.3">
      <c r="A2" s="53" t="s">
        <v>89</v>
      </c>
      <c r="B2" s="5"/>
      <c r="C2" s="5" t="s">
        <v>87</v>
      </c>
      <c r="D2" s="5" t="s">
        <v>73</v>
      </c>
      <c r="E2" s="5" t="s">
        <v>88</v>
      </c>
      <c r="H2">
        <v>1</v>
      </c>
      <c r="I2">
        <v>2</v>
      </c>
      <c r="J2">
        <v>1</v>
      </c>
      <c r="N2" s="53" t="s">
        <v>89</v>
      </c>
      <c r="O2" s="5"/>
      <c r="P2" s="5" t="s">
        <v>87</v>
      </c>
      <c r="Q2" s="5" t="s">
        <v>73</v>
      </c>
      <c r="R2" s="5" t="s">
        <v>88</v>
      </c>
      <c r="T2" s="41">
        <f>P3/(P3+Q3)</f>
        <v>0.41666666666666669</v>
      </c>
      <c r="U2" s="41">
        <f>1-T2</f>
        <v>0.58333333333333326</v>
      </c>
      <c r="V2" s="41">
        <f>Q4/(Q4+P4)</f>
        <v>0.25</v>
      </c>
      <c r="W2" s="41">
        <f>1-V2</f>
        <v>0.75</v>
      </c>
    </row>
    <row r="3" spans="1:23" x14ac:dyDescent="0.3">
      <c r="A3" s="53"/>
      <c r="B3" s="5" t="s">
        <v>87</v>
      </c>
      <c r="C3" s="7">
        <v>28</v>
      </c>
      <c r="D3" s="7">
        <v>50</v>
      </c>
      <c r="E3" s="7">
        <f>C3+D3</f>
        <v>78</v>
      </c>
      <c r="H3">
        <v>1</v>
      </c>
      <c r="I3">
        <v>1</v>
      </c>
      <c r="J3">
        <v>2</v>
      </c>
      <c r="N3" s="53"/>
      <c r="O3" s="5" t="s">
        <v>87</v>
      </c>
      <c r="P3" s="7">
        <v>10</v>
      </c>
      <c r="Q3" s="7">
        <v>14</v>
      </c>
      <c r="R3" s="7">
        <f>P3+Q3</f>
        <v>24</v>
      </c>
      <c r="T3" t="s">
        <v>116</v>
      </c>
    </row>
    <row r="4" spans="1:23" x14ac:dyDescent="0.3">
      <c r="A4" s="53"/>
      <c r="B4" s="5" t="s">
        <v>73</v>
      </c>
      <c r="C4" s="7">
        <v>52</v>
      </c>
      <c r="D4" s="7">
        <v>19</v>
      </c>
      <c r="E4" s="7">
        <f>C4+D4</f>
        <v>71</v>
      </c>
      <c r="H4">
        <v>1</v>
      </c>
      <c r="I4">
        <v>2</v>
      </c>
      <c r="J4">
        <v>1</v>
      </c>
      <c r="N4" s="53"/>
      <c r="O4" s="5" t="s">
        <v>73</v>
      </c>
      <c r="P4" s="7">
        <v>15</v>
      </c>
      <c r="Q4" s="7">
        <v>5</v>
      </c>
      <c r="R4" s="7">
        <f>P4+Q4</f>
        <v>20</v>
      </c>
    </row>
    <row r="5" spans="1:23" x14ac:dyDescent="0.3">
      <c r="A5" s="5" t="s">
        <v>88</v>
      </c>
      <c r="B5" s="5"/>
      <c r="C5" s="7">
        <f>C3+C4</f>
        <v>80</v>
      </c>
      <c r="D5" s="7">
        <f>D3+D4</f>
        <v>69</v>
      </c>
      <c r="E5" s="7">
        <f>E3+E4</f>
        <v>149</v>
      </c>
      <c r="H5">
        <v>1</v>
      </c>
      <c r="I5">
        <v>2</v>
      </c>
      <c r="J5">
        <v>2</v>
      </c>
      <c r="N5" s="5" t="s">
        <v>88</v>
      </c>
      <c r="O5" s="5"/>
      <c r="P5" s="7">
        <f>P3+P4</f>
        <v>25</v>
      </c>
      <c r="Q5" s="7">
        <f>Q3+Q4</f>
        <v>19</v>
      </c>
      <c r="R5" s="7">
        <f>R3+R4</f>
        <v>44</v>
      </c>
    </row>
    <row r="6" spans="1:23" x14ac:dyDescent="0.3">
      <c r="H6">
        <v>2</v>
      </c>
      <c r="I6">
        <v>2</v>
      </c>
      <c r="J6">
        <v>1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2</v>
      </c>
      <c r="I7">
        <v>1</v>
      </c>
      <c r="J7">
        <v>1</v>
      </c>
      <c r="N7" s="5" t="s">
        <v>114</v>
      </c>
      <c r="O7" s="53" t="s">
        <v>90</v>
      </c>
      <c r="P7" s="53"/>
      <c r="Q7" s="53"/>
      <c r="R7" s="5"/>
      <c r="T7" s="9" t="s">
        <v>83</v>
      </c>
      <c r="U7" s="9" t="s">
        <v>84</v>
      </c>
      <c r="V7" s="9" t="s">
        <v>85</v>
      </c>
      <c r="W7" s="9" t="s">
        <v>86</v>
      </c>
    </row>
    <row r="8" spans="1:23" x14ac:dyDescent="0.3">
      <c r="A8" s="8">
        <f>C3/C5</f>
        <v>0.35</v>
      </c>
      <c r="B8" s="8">
        <f>1-A8</f>
        <v>0.65</v>
      </c>
      <c r="C8" s="8">
        <f>D4/E4</f>
        <v>0.26760563380281688</v>
      </c>
      <c r="D8" s="8">
        <f>1-C8</f>
        <v>0.73239436619718312</v>
      </c>
      <c r="H8">
        <v>1</v>
      </c>
      <c r="I8">
        <v>2</v>
      </c>
      <c r="J8">
        <v>1</v>
      </c>
      <c r="N8" s="53" t="s">
        <v>89</v>
      </c>
      <c r="O8" s="5"/>
      <c r="P8" s="5" t="s">
        <v>87</v>
      </c>
      <c r="Q8" s="5" t="s">
        <v>73</v>
      </c>
      <c r="R8" s="5" t="s">
        <v>88</v>
      </c>
      <c r="T8" s="41">
        <f>P9/(P9+Q9)</f>
        <v>0.33333333333333331</v>
      </c>
      <c r="U8" s="41">
        <f>1-T8</f>
        <v>0.66666666666666674</v>
      </c>
      <c r="V8" s="41">
        <f>Q10/(Q10+P10)</f>
        <v>0.2857142857142857</v>
      </c>
      <c r="W8" s="41">
        <f>1-V8</f>
        <v>0.7142857142857143</v>
      </c>
    </row>
    <row r="9" spans="1:23" x14ac:dyDescent="0.3">
      <c r="H9">
        <v>2</v>
      </c>
      <c r="I9">
        <v>1</v>
      </c>
      <c r="J9">
        <v>2</v>
      </c>
      <c r="N9" s="53"/>
      <c r="O9" s="5" t="s">
        <v>87</v>
      </c>
      <c r="P9" s="7">
        <v>10</v>
      </c>
      <c r="Q9" s="7">
        <v>20</v>
      </c>
      <c r="R9" s="7">
        <f>P9+Q9</f>
        <v>30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1</v>
      </c>
      <c r="I10">
        <v>2</v>
      </c>
      <c r="J10">
        <v>1</v>
      </c>
      <c r="N10" s="53"/>
      <c r="O10" s="5" t="s">
        <v>73</v>
      </c>
      <c r="P10" s="7">
        <v>20</v>
      </c>
      <c r="Q10" s="7">
        <v>8</v>
      </c>
      <c r="R10" s="7">
        <f>P10+Q10</f>
        <v>28</v>
      </c>
    </row>
    <row r="11" spans="1:23" x14ac:dyDescent="0.3">
      <c r="A11" s="43">
        <f>C3/E3</f>
        <v>0.35897435897435898</v>
      </c>
      <c r="B11" s="43">
        <f>1-A11</f>
        <v>0.64102564102564097</v>
      </c>
      <c r="C11" s="43">
        <f>D4/E4</f>
        <v>0.26760563380281688</v>
      </c>
      <c r="D11" s="43">
        <f>1-C11</f>
        <v>0.73239436619718312</v>
      </c>
      <c r="E11" s="59"/>
      <c r="F11" s="59"/>
      <c r="H11">
        <v>2</v>
      </c>
      <c r="I11">
        <v>2</v>
      </c>
      <c r="J11">
        <v>1</v>
      </c>
      <c r="N11" s="5" t="s">
        <v>88</v>
      </c>
      <c r="O11" s="5"/>
      <c r="P11" s="7">
        <f>P9+P10</f>
        <v>30</v>
      </c>
      <c r="Q11" s="7">
        <f>Q9+Q10</f>
        <v>28</v>
      </c>
      <c r="R11" s="7">
        <f>R9+R10</f>
        <v>58</v>
      </c>
    </row>
    <row r="12" spans="1:23" x14ac:dyDescent="0.3">
      <c r="E12" s="59"/>
      <c r="F12" s="59"/>
      <c r="H12">
        <v>1</v>
      </c>
      <c r="I12">
        <v>1</v>
      </c>
      <c r="J12">
        <v>2</v>
      </c>
    </row>
    <row r="13" spans="1:23" x14ac:dyDescent="0.3">
      <c r="H13">
        <v>2</v>
      </c>
      <c r="I13">
        <v>1</v>
      </c>
      <c r="J13">
        <v>2</v>
      </c>
      <c r="N13" s="5" t="s">
        <v>115</v>
      </c>
      <c r="O13" s="53" t="s">
        <v>90</v>
      </c>
      <c r="P13" s="53"/>
      <c r="Q13" s="53"/>
      <c r="R13" s="5"/>
      <c r="T13" s="9" t="s">
        <v>83</v>
      </c>
      <c r="U13" s="9" t="s">
        <v>84</v>
      </c>
      <c r="V13" s="9" t="s">
        <v>85</v>
      </c>
      <c r="W13" s="9" t="s">
        <v>86</v>
      </c>
    </row>
    <row r="14" spans="1:23" x14ac:dyDescent="0.3">
      <c r="H14">
        <v>1</v>
      </c>
      <c r="I14">
        <v>2</v>
      </c>
      <c r="J14">
        <v>1</v>
      </c>
      <c r="N14" s="53" t="s">
        <v>89</v>
      </c>
      <c r="O14" s="5"/>
      <c r="P14" s="5" t="s">
        <v>87</v>
      </c>
      <c r="Q14" s="5" t="s">
        <v>73</v>
      </c>
      <c r="R14" s="5" t="s">
        <v>88</v>
      </c>
      <c r="T14" s="41">
        <f>P15/(P15+Q15)</f>
        <v>0.33333333333333331</v>
      </c>
      <c r="U14" s="41">
        <f>1-T14</f>
        <v>0.66666666666666674</v>
      </c>
      <c r="V14" s="41">
        <f>Q16/(Q16+P16)</f>
        <v>0.2608695652173913</v>
      </c>
      <c r="W14" s="41">
        <f>1-V14</f>
        <v>0.73913043478260865</v>
      </c>
    </row>
    <row r="15" spans="1:23" x14ac:dyDescent="0.3">
      <c r="H15">
        <v>2</v>
      </c>
      <c r="I15">
        <v>1</v>
      </c>
      <c r="J15">
        <v>2</v>
      </c>
      <c r="N15" s="53"/>
      <c r="O15" s="5" t="s">
        <v>87</v>
      </c>
      <c r="P15" s="7">
        <v>8</v>
      </c>
      <c r="Q15" s="7">
        <v>16</v>
      </c>
      <c r="R15" s="7">
        <f>P15+Q15</f>
        <v>24</v>
      </c>
    </row>
    <row r="16" spans="1:23" x14ac:dyDescent="0.3">
      <c r="H16">
        <v>2</v>
      </c>
      <c r="I16">
        <v>2</v>
      </c>
      <c r="J16">
        <v>1</v>
      </c>
      <c r="N16" s="53"/>
      <c r="O16" s="5" t="s">
        <v>73</v>
      </c>
      <c r="P16" s="7">
        <v>17</v>
      </c>
      <c r="Q16" s="7">
        <v>6</v>
      </c>
      <c r="R16" s="7">
        <f>P16+Q16</f>
        <v>23</v>
      </c>
    </row>
    <row r="17" spans="1:18" x14ac:dyDescent="0.3">
      <c r="H17">
        <v>1</v>
      </c>
      <c r="I17">
        <v>1</v>
      </c>
      <c r="J17">
        <v>2</v>
      </c>
      <c r="N17" s="5" t="s">
        <v>88</v>
      </c>
      <c r="O17" s="5"/>
      <c r="P17" s="7">
        <f>P15+P16</f>
        <v>25</v>
      </c>
      <c r="Q17" s="7">
        <f>Q15+Q16</f>
        <v>22</v>
      </c>
      <c r="R17" s="7">
        <f>R15+R16</f>
        <v>47</v>
      </c>
    </row>
    <row r="18" spans="1:18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2</v>
      </c>
      <c r="I18">
        <v>1</v>
      </c>
      <c r="J18">
        <v>1</v>
      </c>
    </row>
    <row r="19" spans="1:18" x14ac:dyDescent="0.3">
      <c r="A19" s="54"/>
      <c r="B19" s="54"/>
      <c r="C19" s="69"/>
      <c r="D19" s="54"/>
      <c r="E19" s="54"/>
      <c r="F19" s="54"/>
      <c r="H19">
        <v>1</v>
      </c>
      <c r="I19">
        <v>2</v>
      </c>
      <c r="J19">
        <v>2</v>
      </c>
    </row>
    <row r="20" spans="1:18" x14ac:dyDescent="0.3">
      <c r="A20" s="54"/>
      <c r="B20" s="54"/>
      <c r="C20" s="69"/>
      <c r="D20" s="54"/>
      <c r="E20" s="54"/>
      <c r="F20" s="54"/>
      <c r="H20">
        <v>2</v>
      </c>
      <c r="I20">
        <v>2</v>
      </c>
      <c r="J20">
        <v>1</v>
      </c>
    </row>
    <row r="21" spans="1:18" x14ac:dyDescent="0.3">
      <c r="A21" s="54"/>
      <c r="B21" s="54"/>
      <c r="C21" s="70"/>
      <c r="D21" s="54"/>
      <c r="E21" s="54"/>
      <c r="F21" s="54"/>
      <c r="H21">
        <v>1</v>
      </c>
      <c r="I21">
        <v>1</v>
      </c>
      <c r="J21">
        <v>2</v>
      </c>
    </row>
    <row r="22" spans="1:18" x14ac:dyDescent="0.3">
      <c r="A22" s="37">
        <v>1</v>
      </c>
      <c r="B22" s="37">
        <v>71</v>
      </c>
      <c r="C22" s="40">
        <f>($C$4*$D$11*$A$11^0)+($D$3*$B$11*$C$11^0)</f>
        <v>70.135789093535578</v>
      </c>
      <c r="D22" s="37">
        <v>72.459999999999994</v>
      </c>
      <c r="E22" s="5" t="s">
        <v>125</v>
      </c>
      <c r="F22" s="5" t="s">
        <v>125</v>
      </c>
      <c r="H22">
        <v>2</v>
      </c>
      <c r="I22">
        <v>2</v>
      </c>
      <c r="J22">
        <v>1</v>
      </c>
    </row>
    <row r="23" spans="1:18" x14ac:dyDescent="0.3">
      <c r="A23" s="37">
        <v>2</v>
      </c>
      <c r="B23" s="37">
        <v>19</v>
      </c>
      <c r="C23" s="40">
        <f>($C$4*$D$11*$A$11^1)+($D$3*$B$11*$C$11^1)</f>
        <v>22.248465149873599</v>
      </c>
      <c r="D23" s="37">
        <v>22.356000000000002</v>
      </c>
      <c r="E23" s="5" t="s">
        <v>125</v>
      </c>
      <c r="F23" s="5" t="s">
        <v>125</v>
      </c>
      <c r="H23">
        <v>1</v>
      </c>
      <c r="I23">
        <v>1</v>
      </c>
      <c r="J23">
        <v>1</v>
      </c>
    </row>
    <row r="24" spans="1:18" x14ac:dyDescent="0.3">
      <c r="A24" s="37">
        <v>3</v>
      </c>
      <c r="B24" s="37">
        <v>9</v>
      </c>
      <c r="C24" s="40">
        <f>($C$4*$D$11*$A$11^2)+($D$3*$B$11*$C$11^2)</f>
        <v>7.2029494894005897</v>
      </c>
      <c r="D24" s="37">
        <v>6.54</v>
      </c>
      <c r="E24" s="37">
        <v>5</v>
      </c>
      <c r="F24" s="5">
        <v>4</v>
      </c>
      <c r="H24">
        <v>1</v>
      </c>
      <c r="I24">
        <v>1</v>
      </c>
      <c r="J24">
        <v>1</v>
      </c>
    </row>
    <row r="25" spans="1:18" x14ac:dyDescent="0.3">
      <c r="A25" s="37">
        <v>4</v>
      </c>
      <c r="B25" s="37">
        <v>2</v>
      </c>
      <c r="C25" s="40">
        <f>($C$4*$D$11*$A$11^3)+($D$3*$B$11*$C$11^3)</f>
        <v>2.375957253247976</v>
      </c>
      <c r="D25" s="37">
        <v>1.9450000000000001</v>
      </c>
      <c r="E25" s="5">
        <v>2</v>
      </c>
      <c r="F25" s="5">
        <v>0</v>
      </c>
      <c r="H25">
        <v>1</v>
      </c>
      <c r="I25">
        <v>1</v>
      </c>
      <c r="J25">
        <v>2</v>
      </c>
    </row>
    <row r="26" spans="1:18" x14ac:dyDescent="0.3">
      <c r="A26" s="37">
        <v>5</v>
      </c>
      <c r="B26" s="37">
        <v>1</v>
      </c>
      <c r="C26" s="40">
        <f>($C$4*$D$11*$A$11^4)+($D$3*$B$11*$C$11^4)</f>
        <v>0.7967863019879674</v>
      </c>
      <c r="D26" s="37">
        <v>0.57099999999999995</v>
      </c>
      <c r="E26" s="5">
        <v>1</v>
      </c>
      <c r="F26" s="5">
        <v>0</v>
      </c>
      <c r="H26">
        <v>1</v>
      </c>
      <c r="I26">
        <v>1</v>
      </c>
      <c r="J26">
        <v>1</v>
      </c>
    </row>
    <row r="27" spans="1:18" x14ac:dyDescent="0.3">
      <c r="A27" s="37">
        <v>6</v>
      </c>
      <c r="B27" s="37">
        <v>0</v>
      </c>
      <c r="C27" s="40">
        <f>($C$4*$D$11*$A$11^5)+($D$3*$B$11*$C$11^5)</f>
        <v>0.27100744116473879</v>
      </c>
      <c r="D27" s="37">
        <v>0.186</v>
      </c>
      <c r="E27" s="5">
        <v>0</v>
      </c>
      <c r="F27" s="5">
        <v>0</v>
      </c>
      <c r="H27">
        <v>1</v>
      </c>
      <c r="I27">
        <v>2</v>
      </c>
      <c r="J27">
        <v>1</v>
      </c>
    </row>
    <row r="28" spans="1:18" x14ac:dyDescent="0.3">
      <c r="A28" s="37">
        <v>7</v>
      </c>
      <c r="B28" s="37">
        <v>0</v>
      </c>
      <c r="C28" s="40">
        <f>($C$4*$D$11*$A$11^6)+($D$3*$B$11*$C$11^6)</f>
        <v>9.3265711120268158E-2</v>
      </c>
      <c r="D28" s="37">
        <v>4.7E-2</v>
      </c>
      <c r="E28" s="5">
        <v>0</v>
      </c>
      <c r="F28" s="5">
        <v>0</v>
      </c>
      <c r="H28">
        <v>2</v>
      </c>
      <c r="I28">
        <v>1</v>
      </c>
      <c r="J28">
        <v>2</v>
      </c>
    </row>
    <row r="29" spans="1:18" x14ac:dyDescent="0.3">
      <c r="A29" s="37">
        <v>8</v>
      </c>
      <c r="B29" s="37">
        <v>0</v>
      </c>
      <c r="C29" s="40">
        <f>($C$4*$D$11*$A$11^7)+($D$3*$B$11*$C$11^7)</f>
        <v>3.2404488784342621E-2</v>
      </c>
      <c r="D29" s="37">
        <v>8.0000000000000002E-3</v>
      </c>
      <c r="E29" s="5">
        <v>0</v>
      </c>
      <c r="F29" s="5">
        <v>0</v>
      </c>
      <c r="H29">
        <v>1</v>
      </c>
      <c r="I29">
        <v>2</v>
      </c>
      <c r="J29">
        <v>2</v>
      </c>
    </row>
    <row r="30" spans="1:18" x14ac:dyDescent="0.3">
      <c r="A30" s="37" t="s">
        <v>103</v>
      </c>
      <c r="B30" s="37">
        <v>0</v>
      </c>
      <c r="C30" s="40">
        <f>($C$4*$D$11*$A$11^8)+($D$3*$B$11*$C$11^8)</f>
        <v>1.1344568032807196E-2</v>
      </c>
      <c r="D30" s="37">
        <v>7.0000000000000001E-3</v>
      </c>
      <c r="E30" s="5">
        <v>0</v>
      </c>
      <c r="F30" s="5">
        <v>0</v>
      </c>
      <c r="H30">
        <v>2</v>
      </c>
      <c r="I30">
        <v>2</v>
      </c>
      <c r="J30">
        <v>1</v>
      </c>
    </row>
    <row r="31" spans="1:18" x14ac:dyDescent="0.3">
      <c r="H31">
        <v>2</v>
      </c>
      <c r="I31">
        <v>1</v>
      </c>
      <c r="J31">
        <v>1</v>
      </c>
    </row>
    <row r="32" spans="1:18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1</v>
      </c>
      <c r="I32">
        <v>1</v>
      </c>
      <c r="J32">
        <v>1</v>
      </c>
    </row>
    <row r="33" spans="1:10" x14ac:dyDescent="0.3">
      <c r="A33" s="53"/>
      <c r="B33" s="54"/>
      <c r="C33" s="54"/>
      <c r="D33" s="54"/>
      <c r="E33" s="54"/>
      <c r="F33" s="53"/>
      <c r="G33" s="53"/>
      <c r="H33">
        <v>2</v>
      </c>
      <c r="I33">
        <v>2</v>
      </c>
      <c r="J33">
        <v>2</v>
      </c>
    </row>
    <row r="34" spans="1:10" x14ac:dyDescent="0.3">
      <c r="A34" s="5" t="s">
        <v>87</v>
      </c>
      <c r="B34" s="64">
        <f>E24+E25+E26+E27+E28+E29+E30</f>
        <v>8</v>
      </c>
      <c r="C34" s="65"/>
      <c r="D34" s="66">
        <f>E24*1+E25*2+E26*3+E27*4+E28*5+E29*6+E30*7</f>
        <v>12</v>
      </c>
      <c r="E34" s="67"/>
      <c r="F34" s="48">
        <f>B34/D34</f>
        <v>0.66666666666666663</v>
      </c>
      <c r="G34" s="49">
        <f>F34</f>
        <v>0.66666666666666663</v>
      </c>
      <c r="H34">
        <v>1</v>
      </c>
      <c r="I34">
        <v>1</v>
      </c>
      <c r="J34">
        <v>1</v>
      </c>
    </row>
    <row r="35" spans="1:10" x14ac:dyDescent="0.3">
      <c r="A35" s="5" t="s">
        <v>73</v>
      </c>
      <c r="B35" s="64">
        <f>F24+F25+F26+F27+F28+F29+F30</f>
        <v>4</v>
      </c>
      <c r="C35" s="65"/>
      <c r="D35" s="66">
        <f>F24*1+F25*2+F26*3+F27*4+F28*5+F29*6+F30*7</f>
        <v>4</v>
      </c>
      <c r="E35" s="67"/>
      <c r="F35" s="48">
        <f>B35/D35</f>
        <v>1</v>
      </c>
      <c r="G35" s="49">
        <f>F35</f>
        <v>1</v>
      </c>
      <c r="H35">
        <v>2</v>
      </c>
      <c r="I35">
        <v>1</v>
      </c>
      <c r="J35">
        <v>2</v>
      </c>
    </row>
    <row r="36" spans="1:10" x14ac:dyDescent="0.3">
      <c r="H36">
        <v>1</v>
      </c>
      <c r="I36">
        <v>2</v>
      </c>
      <c r="J36">
        <v>1</v>
      </c>
    </row>
    <row r="37" spans="1:10" x14ac:dyDescent="0.3">
      <c r="H37">
        <v>1</v>
      </c>
      <c r="I37">
        <v>1</v>
      </c>
      <c r="J37">
        <v>2</v>
      </c>
    </row>
    <row r="38" spans="1:10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1</v>
      </c>
      <c r="I38">
        <v>2</v>
      </c>
      <c r="J38">
        <v>1</v>
      </c>
    </row>
    <row r="39" spans="1:10" x14ac:dyDescent="0.3">
      <c r="A39" s="80" t="s">
        <v>87</v>
      </c>
      <c r="B39" s="83">
        <v>8</v>
      </c>
      <c r="C39" s="83"/>
      <c r="D39" s="92">
        <v>28</v>
      </c>
      <c r="E39" s="92"/>
      <c r="F39" s="82">
        <f>SUM(B39+D39)</f>
        <v>36</v>
      </c>
      <c r="H39">
        <v>2</v>
      </c>
      <c r="I39">
        <v>1</v>
      </c>
      <c r="J39">
        <v>2</v>
      </c>
    </row>
    <row r="40" spans="1:10" x14ac:dyDescent="0.3">
      <c r="A40" s="80" t="s">
        <v>73</v>
      </c>
      <c r="B40" s="83">
        <v>4</v>
      </c>
      <c r="C40" s="83"/>
      <c r="D40" s="92">
        <v>19</v>
      </c>
      <c r="E40" s="92"/>
      <c r="F40" s="82">
        <f>SUM(B40+D40)</f>
        <v>23</v>
      </c>
      <c r="H40">
        <v>1</v>
      </c>
      <c r="I40">
        <v>2</v>
      </c>
      <c r="J40">
        <v>2</v>
      </c>
    </row>
    <row r="41" spans="1:10" x14ac:dyDescent="0.3">
      <c r="A41" s="85"/>
      <c r="B41" s="86">
        <f>SUM(B39:B40)</f>
        <v>12</v>
      </c>
      <c r="C41" s="86"/>
      <c r="D41" s="87">
        <f>SUM(D39:D40)</f>
        <v>47</v>
      </c>
      <c r="E41" s="87"/>
      <c r="F41" s="82">
        <f>SUM(F39:F40)</f>
        <v>59</v>
      </c>
      <c r="H41">
        <v>1</v>
      </c>
      <c r="I41">
        <v>2</v>
      </c>
      <c r="J41">
        <v>2</v>
      </c>
    </row>
    <row r="42" spans="1:10" x14ac:dyDescent="0.3">
      <c r="A42" s="40"/>
      <c r="B42" s="84" t="s">
        <v>134</v>
      </c>
      <c r="C42" s="84"/>
      <c r="D42" s="84" t="s">
        <v>132</v>
      </c>
      <c r="E42" s="84"/>
      <c r="F42" s="73"/>
      <c r="H42">
        <v>2</v>
      </c>
      <c r="I42">
        <v>1</v>
      </c>
      <c r="J42">
        <v>1</v>
      </c>
    </row>
    <row r="43" spans="1:10" x14ac:dyDescent="0.3">
      <c r="A43" s="82" t="s">
        <v>87</v>
      </c>
      <c r="B43" s="81">
        <f>B41*F39/F41</f>
        <v>7.3220338983050848</v>
      </c>
      <c r="C43" s="81"/>
      <c r="D43" s="81">
        <f>D41*F39/F41</f>
        <v>28.677966101694917</v>
      </c>
      <c r="E43" s="81"/>
      <c r="F43" s="73"/>
      <c r="H43">
        <v>2</v>
      </c>
      <c r="I43">
        <v>2</v>
      </c>
      <c r="J43">
        <v>2</v>
      </c>
    </row>
    <row r="44" spans="1:10" x14ac:dyDescent="0.3">
      <c r="A44" s="82" t="s">
        <v>73</v>
      </c>
      <c r="B44" s="81">
        <f>B41*F40/F41</f>
        <v>4.6779661016949152</v>
      </c>
      <c r="C44" s="81"/>
      <c r="D44" s="81">
        <f>D41*F40/F41</f>
        <v>18.322033898305083</v>
      </c>
      <c r="E44" s="81"/>
      <c r="F44" s="73"/>
      <c r="H44">
        <v>2</v>
      </c>
      <c r="I44">
        <v>2</v>
      </c>
      <c r="J44">
        <v>2</v>
      </c>
    </row>
    <row r="45" spans="1:10" x14ac:dyDescent="0.3">
      <c r="A45" s="88"/>
      <c r="B45" s="88"/>
      <c r="C45" s="88"/>
      <c r="D45" s="88"/>
      <c r="E45" s="88"/>
      <c r="F45" s="73"/>
      <c r="H45">
        <v>1</v>
      </c>
      <c r="I45">
        <v>2</v>
      </c>
      <c r="J45">
        <v>1</v>
      </c>
    </row>
    <row r="46" spans="1:10" x14ac:dyDescent="0.3">
      <c r="A46" s="88" t="s">
        <v>135</v>
      </c>
      <c r="B46" s="89">
        <f>CHITEST(B39:E40,B43:E44)</f>
        <v>0.97724231479979151</v>
      </c>
      <c r="C46" s="88"/>
      <c r="D46" s="88"/>
      <c r="E46" s="88"/>
      <c r="F46" s="73"/>
      <c r="I46">
        <v>1</v>
      </c>
      <c r="J46">
        <v>2</v>
      </c>
    </row>
    <row r="47" spans="1:10" x14ac:dyDescent="0.3">
      <c r="I47">
        <v>1</v>
      </c>
      <c r="J47">
        <v>2</v>
      </c>
    </row>
    <row r="48" spans="1:10" x14ac:dyDescent="0.3">
      <c r="I48">
        <v>1</v>
      </c>
      <c r="J48">
        <v>1</v>
      </c>
    </row>
    <row r="49" spans="9:9" x14ac:dyDescent="0.3">
      <c r="I49">
        <v>2</v>
      </c>
    </row>
    <row r="50" spans="9:9" x14ac:dyDescent="0.3">
      <c r="I50">
        <v>1</v>
      </c>
    </row>
    <row r="51" spans="9:9" x14ac:dyDescent="0.3">
      <c r="I51">
        <v>2</v>
      </c>
    </row>
    <row r="52" spans="9:9" x14ac:dyDescent="0.3">
      <c r="I52">
        <v>1</v>
      </c>
    </row>
    <row r="53" spans="9:9" x14ac:dyDescent="0.3">
      <c r="I53">
        <v>2</v>
      </c>
    </row>
    <row r="54" spans="9:9" x14ac:dyDescent="0.3">
      <c r="I54">
        <v>1</v>
      </c>
    </row>
    <row r="55" spans="9:9" x14ac:dyDescent="0.3">
      <c r="I55">
        <v>2</v>
      </c>
    </row>
    <row r="56" spans="9:9" x14ac:dyDescent="0.3">
      <c r="I56">
        <v>1</v>
      </c>
    </row>
    <row r="57" spans="9:9" x14ac:dyDescent="0.3">
      <c r="I57">
        <v>2</v>
      </c>
    </row>
    <row r="58" spans="9:9" x14ac:dyDescent="0.3">
      <c r="I58">
        <v>1</v>
      </c>
    </row>
    <row r="59" spans="9:9" x14ac:dyDescent="0.3">
      <c r="I59">
        <v>1</v>
      </c>
    </row>
  </sheetData>
  <mergeCells count="38">
    <mergeCell ref="B44:C44"/>
    <mergeCell ref="D44:E44"/>
    <mergeCell ref="B41:C41"/>
    <mergeCell ref="D41:E41"/>
    <mergeCell ref="B42:C42"/>
    <mergeCell ref="D42:E42"/>
    <mergeCell ref="B43:C43"/>
    <mergeCell ref="D43:E43"/>
    <mergeCell ref="B38:C38"/>
    <mergeCell ref="D38:E38"/>
    <mergeCell ref="B39:C39"/>
    <mergeCell ref="D39:E39"/>
    <mergeCell ref="B40:C40"/>
    <mergeCell ref="D40:E40"/>
    <mergeCell ref="B34:C34"/>
    <mergeCell ref="D34:E34"/>
    <mergeCell ref="B35:C35"/>
    <mergeCell ref="D35:E35"/>
    <mergeCell ref="A32:A33"/>
    <mergeCell ref="B32:C33"/>
    <mergeCell ref="D32:E33"/>
    <mergeCell ref="F32:F33"/>
    <mergeCell ref="G32:G33"/>
    <mergeCell ref="N14:N16"/>
    <mergeCell ref="O1:Q1"/>
    <mergeCell ref="N2:N4"/>
    <mergeCell ref="O7:Q7"/>
    <mergeCell ref="N8:N10"/>
    <mergeCell ref="O13:Q13"/>
    <mergeCell ref="B1:D1"/>
    <mergeCell ref="A2:A4"/>
    <mergeCell ref="E10:F12"/>
    <mergeCell ref="A18:A21"/>
    <mergeCell ref="B18:B21"/>
    <mergeCell ref="C18:C21"/>
    <mergeCell ref="D18:D21"/>
    <mergeCell ref="E18:E21"/>
    <mergeCell ref="F18:F21"/>
  </mergeCells>
  <conditionalFormatting sqref="H1:J1048576">
    <cfRule type="cellIs" dxfId="117" priority="5" operator="equal">
      <formula>1</formula>
    </cfRule>
    <cfRule type="cellIs" dxfId="116" priority="6" operator="equal">
      <formula>2</formula>
    </cfRule>
  </conditionalFormatting>
  <conditionalFormatting sqref="A43:B44 A45:E46 D42:D44 B42">
    <cfRule type="cellIs" dxfId="27" priority="1" operator="equal">
      <formula>1</formula>
    </cfRule>
    <cfRule type="cellIs" dxfId="26" priority="2" operator="equal">
      <formula>2</formula>
    </cfRule>
    <cfRule type="cellIs" dxfId="25" priority="3" operator="equal">
      <formula>1</formula>
    </cfRule>
    <cfRule type="cellIs" dxfId="24" priority="4" operator="equal">
      <formula>2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CA93-A880-4764-97B6-5797581CECE2}">
  <dimension ref="A1:W49"/>
  <sheetViews>
    <sheetView topLeftCell="A25" zoomScaleNormal="100" workbookViewId="0">
      <selection activeCell="D41" sqref="D41:E41"/>
    </sheetView>
  </sheetViews>
  <sheetFormatPr defaultRowHeight="14.4" x14ac:dyDescent="0.3"/>
  <cols>
    <col min="1" max="1" width="10.109375" customWidth="1"/>
    <col min="3" max="3" width="10" customWidth="1"/>
  </cols>
  <sheetData>
    <row r="1" spans="1:23" x14ac:dyDescent="0.3">
      <c r="A1" s="5"/>
      <c r="B1" s="53" t="s">
        <v>90</v>
      </c>
      <c r="C1" s="53"/>
      <c r="D1" s="53"/>
      <c r="E1" s="5"/>
      <c r="H1">
        <v>1</v>
      </c>
      <c r="I1">
        <v>2</v>
      </c>
      <c r="J1">
        <v>1</v>
      </c>
      <c r="N1" s="5" t="s">
        <v>113</v>
      </c>
      <c r="O1" s="53" t="s">
        <v>90</v>
      </c>
      <c r="P1" s="53"/>
      <c r="Q1" s="53"/>
      <c r="R1" s="5"/>
      <c r="T1" s="9" t="s">
        <v>83</v>
      </c>
      <c r="U1" s="9" t="s">
        <v>84</v>
      </c>
      <c r="V1" s="9" t="s">
        <v>85</v>
      </c>
      <c r="W1" s="9" t="s">
        <v>86</v>
      </c>
    </row>
    <row r="2" spans="1:23" x14ac:dyDescent="0.3">
      <c r="A2" s="53" t="s">
        <v>89</v>
      </c>
      <c r="B2" s="5"/>
      <c r="C2" s="5" t="s">
        <v>87</v>
      </c>
      <c r="D2" s="5" t="s">
        <v>73</v>
      </c>
      <c r="E2" s="5" t="s">
        <v>88</v>
      </c>
      <c r="H2">
        <v>1</v>
      </c>
      <c r="I2">
        <v>1</v>
      </c>
      <c r="J2">
        <v>1</v>
      </c>
      <c r="N2" s="53" t="s">
        <v>89</v>
      </c>
      <c r="O2" s="5"/>
      <c r="P2" s="5" t="s">
        <v>87</v>
      </c>
      <c r="Q2" s="5" t="s">
        <v>73</v>
      </c>
      <c r="R2" s="5" t="s">
        <v>88</v>
      </c>
      <c r="T2" s="41">
        <f>P3/(P3+Q3)</f>
        <v>0.36</v>
      </c>
      <c r="U2" s="41">
        <f>1-T2</f>
        <v>0.64</v>
      </c>
      <c r="V2" s="41">
        <f>Q4/(Q4+P4)</f>
        <v>0.30434782608695654</v>
      </c>
      <c r="W2" s="41">
        <f>1-V2</f>
        <v>0.69565217391304346</v>
      </c>
    </row>
    <row r="3" spans="1:23" x14ac:dyDescent="0.3">
      <c r="A3" s="53"/>
      <c r="B3" s="5" t="s">
        <v>87</v>
      </c>
      <c r="C3" s="7">
        <v>28</v>
      </c>
      <c r="D3" s="7">
        <v>46</v>
      </c>
      <c r="E3" s="7">
        <f>C3+D3</f>
        <v>74</v>
      </c>
      <c r="H3">
        <v>2</v>
      </c>
      <c r="I3">
        <v>2</v>
      </c>
      <c r="J3">
        <v>2</v>
      </c>
      <c r="N3" s="53"/>
      <c r="O3" s="5" t="s">
        <v>87</v>
      </c>
      <c r="P3" s="7">
        <v>9</v>
      </c>
      <c r="Q3" s="7">
        <v>16</v>
      </c>
      <c r="R3" s="7">
        <f>P3+Q3</f>
        <v>25</v>
      </c>
      <c r="T3" t="s">
        <v>116</v>
      </c>
    </row>
    <row r="4" spans="1:23" x14ac:dyDescent="0.3">
      <c r="A4" s="53"/>
      <c r="B4" s="5" t="s">
        <v>73</v>
      </c>
      <c r="C4" s="7">
        <v>47</v>
      </c>
      <c r="D4" s="7">
        <v>15</v>
      </c>
      <c r="E4" s="7">
        <f>C4+D4</f>
        <v>62</v>
      </c>
      <c r="H4">
        <v>2</v>
      </c>
      <c r="I4">
        <v>1</v>
      </c>
      <c r="J4">
        <v>2</v>
      </c>
      <c r="N4" s="53"/>
      <c r="O4" s="5" t="s">
        <v>73</v>
      </c>
      <c r="P4" s="7">
        <v>16</v>
      </c>
      <c r="Q4" s="7">
        <v>7</v>
      </c>
      <c r="R4" s="7">
        <f>P4+Q4</f>
        <v>23</v>
      </c>
    </row>
    <row r="5" spans="1:23" x14ac:dyDescent="0.3">
      <c r="A5" s="5" t="s">
        <v>88</v>
      </c>
      <c r="B5" s="5"/>
      <c r="C5" s="7">
        <f>C3+C4</f>
        <v>75</v>
      </c>
      <c r="D5" s="7">
        <f>D3+D4</f>
        <v>61</v>
      </c>
      <c r="E5" s="7">
        <f>E3+E4</f>
        <v>136</v>
      </c>
      <c r="H5">
        <v>1</v>
      </c>
      <c r="I5">
        <v>2</v>
      </c>
      <c r="J5">
        <v>1</v>
      </c>
      <c r="N5" s="5" t="s">
        <v>88</v>
      </c>
      <c r="O5" s="5"/>
      <c r="P5" s="7">
        <f>P3+P4</f>
        <v>25</v>
      </c>
      <c r="Q5" s="7">
        <f>Q3+Q4</f>
        <v>23</v>
      </c>
      <c r="R5" s="7">
        <f>R3+R4</f>
        <v>48</v>
      </c>
    </row>
    <row r="6" spans="1:23" x14ac:dyDescent="0.3">
      <c r="H6">
        <v>2</v>
      </c>
      <c r="I6">
        <v>1</v>
      </c>
      <c r="J6">
        <v>1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2</v>
      </c>
      <c r="I7">
        <v>2</v>
      </c>
      <c r="J7">
        <v>2</v>
      </c>
      <c r="N7" s="5" t="s">
        <v>114</v>
      </c>
      <c r="O7" s="53" t="s">
        <v>90</v>
      </c>
      <c r="P7" s="53"/>
      <c r="Q7" s="53"/>
      <c r="R7" s="5"/>
      <c r="T7" s="9" t="s">
        <v>83</v>
      </c>
      <c r="U7" s="9" t="s">
        <v>84</v>
      </c>
      <c r="V7" s="9" t="s">
        <v>85</v>
      </c>
      <c r="W7" s="9" t="s">
        <v>86</v>
      </c>
    </row>
    <row r="8" spans="1:23" x14ac:dyDescent="0.3">
      <c r="A8" s="8">
        <f>C3/C5</f>
        <v>0.37333333333333335</v>
      </c>
      <c r="B8" s="8">
        <f>1-A8</f>
        <v>0.62666666666666671</v>
      </c>
      <c r="C8" s="8">
        <f>D4/E4</f>
        <v>0.24193548387096775</v>
      </c>
      <c r="D8" s="8">
        <f>1-C8</f>
        <v>0.75806451612903225</v>
      </c>
      <c r="H8">
        <v>1</v>
      </c>
      <c r="I8">
        <v>2</v>
      </c>
      <c r="J8">
        <v>1</v>
      </c>
      <c r="N8" s="53" t="s">
        <v>89</v>
      </c>
      <c r="O8" s="5"/>
      <c r="P8" s="5" t="s">
        <v>87</v>
      </c>
      <c r="Q8" s="5" t="s">
        <v>73</v>
      </c>
      <c r="R8" s="5" t="s">
        <v>88</v>
      </c>
      <c r="T8" s="41">
        <f>P9/(P9+Q9)</f>
        <v>0.41666666666666669</v>
      </c>
      <c r="U8" s="41">
        <f>1-T8</f>
        <v>0.58333333333333326</v>
      </c>
      <c r="V8" s="41">
        <f>Q10/(Q10+P10)</f>
        <v>0.25</v>
      </c>
      <c r="W8" s="41">
        <f>1-V8</f>
        <v>0.75</v>
      </c>
    </row>
    <row r="9" spans="1:23" x14ac:dyDescent="0.3">
      <c r="H9">
        <v>2</v>
      </c>
      <c r="I9">
        <v>1</v>
      </c>
      <c r="J9">
        <v>2</v>
      </c>
      <c r="N9" s="53"/>
      <c r="O9" s="5" t="s">
        <v>87</v>
      </c>
      <c r="P9" s="7">
        <v>10</v>
      </c>
      <c r="Q9" s="7">
        <v>14</v>
      </c>
      <c r="R9" s="7">
        <f>P9+Q9</f>
        <v>24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1</v>
      </c>
      <c r="I10">
        <v>2</v>
      </c>
      <c r="J10">
        <v>1</v>
      </c>
      <c r="N10" s="53"/>
      <c r="O10" s="5" t="s">
        <v>73</v>
      </c>
      <c r="P10" s="7">
        <v>15</v>
      </c>
      <c r="Q10" s="7">
        <v>5</v>
      </c>
      <c r="R10" s="7">
        <f>P10+Q10</f>
        <v>20</v>
      </c>
    </row>
    <row r="11" spans="1:23" x14ac:dyDescent="0.3">
      <c r="A11" s="43">
        <f>C3/E3</f>
        <v>0.3783783783783784</v>
      </c>
      <c r="B11" s="43">
        <f>1-A11</f>
        <v>0.6216216216216216</v>
      </c>
      <c r="C11" s="43">
        <f>D4/E4</f>
        <v>0.24193548387096775</v>
      </c>
      <c r="D11" s="43">
        <f>1-C11</f>
        <v>0.75806451612903225</v>
      </c>
      <c r="E11" s="59"/>
      <c r="F11" s="59"/>
      <c r="H11">
        <v>1</v>
      </c>
      <c r="I11">
        <v>1</v>
      </c>
      <c r="J11">
        <v>1</v>
      </c>
      <c r="N11" s="5" t="s">
        <v>88</v>
      </c>
      <c r="O11" s="5"/>
      <c r="P11" s="7">
        <f>P9+P10</f>
        <v>25</v>
      </c>
      <c r="Q11" s="7">
        <f>Q9+Q10</f>
        <v>19</v>
      </c>
      <c r="R11" s="7">
        <f>R9+R10</f>
        <v>44</v>
      </c>
    </row>
    <row r="12" spans="1:23" x14ac:dyDescent="0.3">
      <c r="E12" s="59"/>
      <c r="F12" s="59"/>
      <c r="H12">
        <v>1</v>
      </c>
      <c r="I12">
        <v>1</v>
      </c>
      <c r="J12">
        <v>2</v>
      </c>
    </row>
    <row r="13" spans="1:23" x14ac:dyDescent="0.3">
      <c r="H13">
        <v>1</v>
      </c>
      <c r="I13">
        <v>2</v>
      </c>
      <c r="J13">
        <v>1</v>
      </c>
      <c r="N13" s="5" t="s">
        <v>115</v>
      </c>
      <c r="O13" s="53" t="s">
        <v>90</v>
      </c>
      <c r="P13" s="53"/>
      <c r="Q13" s="53"/>
      <c r="R13" s="5"/>
      <c r="T13" s="9" t="s">
        <v>83</v>
      </c>
      <c r="U13" s="9" t="s">
        <v>84</v>
      </c>
      <c r="V13" s="9" t="s">
        <v>85</v>
      </c>
      <c r="W13" s="9" t="s">
        <v>86</v>
      </c>
    </row>
    <row r="14" spans="1:23" x14ac:dyDescent="0.3">
      <c r="H14">
        <v>2</v>
      </c>
      <c r="I14">
        <v>1</v>
      </c>
      <c r="J14">
        <v>2</v>
      </c>
      <c r="N14" s="53" t="s">
        <v>89</v>
      </c>
      <c r="O14" s="5"/>
      <c r="P14" s="5" t="s">
        <v>87</v>
      </c>
      <c r="Q14" s="5" t="s">
        <v>73</v>
      </c>
      <c r="R14" s="5" t="s">
        <v>88</v>
      </c>
      <c r="T14" s="41">
        <f>P15/(P15+Q15)</f>
        <v>0.36</v>
      </c>
      <c r="U14" s="41">
        <f>1-T14</f>
        <v>0.64</v>
      </c>
      <c r="V14" s="41">
        <f>Q16/(Q16+P16)</f>
        <v>0.15789473684210525</v>
      </c>
      <c r="W14" s="41">
        <f>1-V14</f>
        <v>0.84210526315789469</v>
      </c>
    </row>
    <row r="15" spans="1:23" x14ac:dyDescent="0.3">
      <c r="H15">
        <v>1</v>
      </c>
      <c r="I15">
        <v>2</v>
      </c>
      <c r="J15">
        <v>1</v>
      </c>
      <c r="N15" s="53"/>
      <c r="O15" s="5" t="s">
        <v>87</v>
      </c>
      <c r="P15" s="7">
        <v>9</v>
      </c>
      <c r="Q15" s="7">
        <v>16</v>
      </c>
      <c r="R15" s="7">
        <f>P15+Q15</f>
        <v>25</v>
      </c>
    </row>
    <row r="16" spans="1:23" x14ac:dyDescent="0.3">
      <c r="H16">
        <v>2</v>
      </c>
      <c r="I16">
        <v>2</v>
      </c>
      <c r="J16">
        <v>2</v>
      </c>
      <c r="N16" s="53"/>
      <c r="O16" s="5" t="s">
        <v>73</v>
      </c>
      <c r="P16" s="7">
        <v>16</v>
      </c>
      <c r="Q16" s="7">
        <v>3</v>
      </c>
      <c r="R16" s="7">
        <f>P16+Q16</f>
        <v>19</v>
      </c>
    </row>
    <row r="17" spans="1:18" x14ac:dyDescent="0.3">
      <c r="H17">
        <v>1</v>
      </c>
      <c r="I17">
        <v>1</v>
      </c>
      <c r="J17">
        <v>2</v>
      </c>
      <c r="N17" s="5" t="s">
        <v>88</v>
      </c>
      <c r="O17" s="5"/>
      <c r="P17" s="7">
        <f>P15+P16</f>
        <v>25</v>
      </c>
      <c r="Q17" s="7">
        <f>Q15+Q16</f>
        <v>19</v>
      </c>
      <c r="R17" s="7">
        <f>R15+R16</f>
        <v>44</v>
      </c>
    </row>
    <row r="18" spans="1:18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2</v>
      </c>
      <c r="I18">
        <v>1</v>
      </c>
      <c r="J18">
        <v>1</v>
      </c>
    </row>
    <row r="19" spans="1:18" x14ac:dyDescent="0.3">
      <c r="A19" s="54"/>
      <c r="B19" s="54"/>
      <c r="C19" s="69"/>
      <c r="D19" s="54"/>
      <c r="E19" s="54"/>
      <c r="F19" s="54"/>
      <c r="H19">
        <v>2</v>
      </c>
      <c r="I19">
        <v>2</v>
      </c>
      <c r="J19">
        <v>1</v>
      </c>
    </row>
    <row r="20" spans="1:18" x14ac:dyDescent="0.3">
      <c r="A20" s="54"/>
      <c r="B20" s="54"/>
      <c r="C20" s="69"/>
      <c r="D20" s="54"/>
      <c r="E20" s="54"/>
      <c r="F20" s="54"/>
      <c r="H20">
        <v>2</v>
      </c>
      <c r="I20">
        <v>1</v>
      </c>
      <c r="J20">
        <v>2</v>
      </c>
    </row>
    <row r="21" spans="1:18" x14ac:dyDescent="0.3">
      <c r="A21" s="54"/>
      <c r="B21" s="54"/>
      <c r="C21" s="70"/>
      <c r="D21" s="54"/>
      <c r="E21" s="54"/>
      <c r="F21" s="54"/>
      <c r="H21">
        <v>1</v>
      </c>
      <c r="I21">
        <v>1</v>
      </c>
      <c r="J21">
        <v>1</v>
      </c>
    </row>
    <row r="22" spans="1:18" x14ac:dyDescent="0.3">
      <c r="A22" s="37">
        <v>1</v>
      </c>
      <c r="B22" s="37">
        <v>64</v>
      </c>
      <c r="C22" s="40">
        <f>($C$4*$D$11*$A$11^0)+($D$3*$B$11*$C$11^0)</f>
        <v>64.223626852659109</v>
      </c>
      <c r="D22" s="37">
        <v>67.040000000000006</v>
      </c>
      <c r="E22" s="5" t="s">
        <v>125</v>
      </c>
      <c r="F22" s="5" t="s">
        <v>125</v>
      </c>
      <c r="H22">
        <v>2</v>
      </c>
      <c r="I22">
        <v>2</v>
      </c>
      <c r="J22">
        <v>1</v>
      </c>
    </row>
    <row r="23" spans="1:18" x14ac:dyDescent="0.3">
      <c r="A23" s="37">
        <v>2</v>
      </c>
      <c r="B23" s="37">
        <v>24</v>
      </c>
      <c r="C23" s="40">
        <f>($C$4*$D$11*$A$11^1)+($D$3*$B$11*$C$11^1)</f>
        <v>20.399302528334786</v>
      </c>
      <c r="D23" s="37">
        <v>19.98</v>
      </c>
      <c r="E23" s="5" t="s">
        <v>125</v>
      </c>
      <c r="F23" s="5" t="s">
        <v>125</v>
      </c>
      <c r="H23">
        <v>1</v>
      </c>
      <c r="I23">
        <v>1</v>
      </c>
      <c r="J23">
        <v>1</v>
      </c>
    </row>
    <row r="24" spans="1:18" x14ac:dyDescent="0.3">
      <c r="A24" s="37">
        <v>3</v>
      </c>
      <c r="B24" s="37">
        <v>5</v>
      </c>
      <c r="C24" s="40">
        <f>($C$4*$D$11*$A$11^2)+($D$3*$B$11*$C$11^2)</f>
        <v>6.7747366428779365</v>
      </c>
      <c r="D24" s="37">
        <v>5.98</v>
      </c>
      <c r="E24" s="37">
        <v>3</v>
      </c>
      <c r="F24" s="5">
        <v>2</v>
      </c>
      <c r="H24">
        <v>2</v>
      </c>
      <c r="I24">
        <v>2</v>
      </c>
      <c r="J24">
        <v>2</v>
      </c>
    </row>
    <row r="25" spans="1:18" x14ac:dyDescent="0.3">
      <c r="A25" s="37">
        <v>4</v>
      </c>
      <c r="B25" s="37">
        <v>1</v>
      </c>
      <c r="C25" s="40">
        <f>($C$4*$D$11*$A$11^3)+($D$3*$B$11*$C$11^3)</f>
        <v>2.3350465178138622</v>
      </c>
      <c r="D25" s="37">
        <v>1.8160000000000001</v>
      </c>
      <c r="E25" s="5">
        <v>1</v>
      </c>
      <c r="F25" s="5">
        <v>0</v>
      </c>
      <c r="H25">
        <v>1</v>
      </c>
      <c r="I25">
        <v>1</v>
      </c>
      <c r="J25">
        <v>1</v>
      </c>
    </row>
    <row r="26" spans="1:18" x14ac:dyDescent="0.3">
      <c r="A26" s="37">
        <v>5</v>
      </c>
      <c r="B26" s="37">
        <v>1</v>
      </c>
      <c r="C26" s="40">
        <f>($C$4*$D$11*$A$11^4)+($D$3*$B$11*$C$11^4)</f>
        <v>0.82828095023747117</v>
      </c>
      <c r="D26" s="37">
        <v>0.53</v>
      </c>
      <c r="E26" s="5">
        <v>1</v>
      </c>
      <c r="F26" s="5">
        <v>0</v>
      </c>
      <c r="H26">
        <v>1</v>
      </c>
      <c r="I26">
        <v>1</v>
      </c>
      <c r="J26">
        <v>2</v>
      </c>
    </row>
    <row r="27" spans="1:18" x14ac:dyDescent="0.3">
      <c r="A27" s="37">
        <v>6</v>
      </c>
      <c r="B27" s="37">
        <v>0</v>
      </c>
      <c r="C27" s="40">
        <f>($C$4*$D$11*$A$11^5)+($D$3*$B$11*$C$11^5)</f>
        <v>0.30003662748343957</v>
      </c>
      <c r="D27" s="37">
        <v>0.126</v>
      </c>
      <c r="E27" s="5">
        <v>0</v>
      </c>
      <c r="F27" s="5">
        <v>0</v>
      </c>
      <c r="H27">
        <v>1</v>
      </c>
      <c r="I27">
        <v>1</v>
      </c>
      <c r="J27">
        <v>1</v>
      </c>
    </row>
    <row r="28" spans="1:18" x14ac:dyDescent="0.3">
      <c r="A28" s="37">
        <v>7</v>
      </c>
      <c r="B28" s="37">
        <v>0</v>
      </c>
      <c r="C28" s="40">
        <f>($C$4*$D$11*$A$11^6)+($D$3*$B$11*$C$11^6)</f>
        <v>0.11029342692199895</v>
      </c>
      <c r="D28" s="37">
        <v>0.04</v>
      </c>
      <c r="E28" s="5">
        <v>0</v>
      </c>
      <c r="F28" s="5">
        <v>0</v>
      </c>
      <c r="H28">
        <v>2</v>
      </c>
      <c r="I28">
        <v>1</v>
      </c>
      <c r="J28">
        <v>2</v>
      </c>
    </row>
    <row r="29" spans="1:18" x14ac:dyDescent="0.3">
      <c r="A29" s="37">
        <v>8</v>
      </c>
      <c r="B29" s="37">
        <v>0</v>
      </c>
      <c r="C29" s="40">
        <f>($C$4*$D$11*$A$11^7)+($D$3*$B$11*$C$11^7)</f>
        <v>4.0950241821483088E-2</v>
      </c>
      <c r="D29" s="37">
        <v>8.0000000000000002E-3</v>
      </c>
      <c r="E29" s="5">
        <v>0</v>
      </c>
      <c r="F29" s="5">
        <v>0</v>
      </c>
      <c r="H29">
        <v>1</v>
      </c>
      <c r="I29">
        <v>1</v>
      </c>
      <c r="J29">
        <v>1</v>
      </c>
    </row>
    <row r="30" spans="1:18" x14ac:dyDescent="0.3">
      <c r="A30" s="37" t="s">
        <v>103</v>
      </c>
      <c r="B30" s="37">
        <v>0</v>
      </c>
      <c r="C30" s="40">
        <f>($C$4*$D$11*$A$11^8)+($D$3*$B$11*$C$11^8)</f>
        <v>1.5305394271294966E-2</v>
      </c>
      <c r="D30" s="37">
        <v>5.0000000000000001E-3</v>
      </c>
      <c r="E30" s="5">
        <v>0</v>
      </c>
      <c r="F30" s="5">
        <v>0</v>
      </c>
      <c r="H30">
        <v>2</v>
      </c>
      <c r="I30">
        <v>2</v>
      </c>
      <c r="J30">
        <v>2</v>
      </c>
    </row>
    <row r="31" spans="1:18" x14ac:dyDescent="0.3">
      <c r="H31">
        <v>1</v>
      </c>
      <c r="I31">
        <v>2</v>
      </c>
      <c r="J31">
        <v>1</v>
      </c>
    </row>
    <row r="32" spans="1:18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2</v>
      </c>
      <c r="I32">
        <v>1</v>
      </c>
      <c r="J32">
        <v>2</v>
      </c>
    </row>
    <row r="33" spans="1:10" x14ac:dyDescent="0.3">
      <c r="A33" s="53"/>
      <c r="B33" s="54"/>
      <c r="C33" s="54"/>
      <c r="D33" s="54"/>
      <c r="E33" s="54"/>
      <c r="F33" s="53"/>
      <c r="G33" s="53"/>
      <c r="H33">
        <v>1</v>
      </c>
      <c r="I33">
        <v>2</v>
      </c>
      <c r="J33">
        <v>2</v>
      </c>
    </row>
    <row r="34" spans="1:10" x14ac:dyDescent="0.3">
      <c r="A34" s="5" t="s">
        <v>87</v>
      </c>
      <c r="B34" s="64">
        <f>E24+E25+E26+E27+E28+E29+E30</f>
        <v>5</v>
      </c>
      <c r="C34" s="65"/>
      <c r="D34" s="66">
        <f>E24*1+E25*2+E26*3+E27*4+E28*5+E29*6+E30*7</f>
        <v>8</v>
      </c>
      <c r="E34" s="67"/>
      <c r="F34" s="48">
        <f>B34/D34</f>
        <v>0.625</v>
      </c>
      <c r="G34" s="49">
        <f>F34</f>
        <v>0.625</v>
      </c>
      <c r="H34">
        <v>1</v>
      </c>
      <c r="I34">
        <v>2</v>
      </c>
      <c r="J34">
        <v>1</v>
      </c>
    </row>
    <row r="35" spans="1:10" x14ac:dyDescent="0.3">
      <c r="A35" s="5" t="s">
        <v>73</v>
      </c>
      <c r="B35" s="64">
        <f>F24+F25+F26+F27+F28+F29+F30</f>
        <v>2</v>
      </c>
      <c r="C35" s="65"/>
      <c r="D35" s="66">
        <f>F24*1+F25*2+F26*3+F27*4+F28*5+F29*6+F30*7</f>
        <v>2</v>
      </c>
      <c r="E35" s="67"/>
      <c r="F35" s="48">
        <f>B35/D35</f>
        <v>1</v>
      </c>
      <c r="G35" s="49">
        <f>F35</f>
        <v>1</v>
      </c>
      <c r="H35">
        <v>2</v>
      </c>
      <c r="I35">
        <v>1</v>
      </c>
      <c r="J35">
        <v>2</v>
      </c>
    </row>
    <row r="36" spans="1:10" x14ac:dyDescent="0.3">
      <c r="H36">
        <v>1</v>
      </c>
      <c r="I36">
        <v>1</v>
      </c>
      <c r="J36">
        <v>1</v>
      </c>
    </row>
    <row r="37" spans="1:10" x14ac:dyDescent="0.3">
      <c r="H37">
        <v>2</v>
      </c>
      <c r="I37">
        <v>1</v>
      </c>
      <c r="J37">
        <v>2</v>
      </c>
    </row>
    <row r="38" spans="1:10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1</v>
      </c>
      <c r="I38">
        <v>2</v>
      </c>
      <c r="J38">
        <v>1</v>
      </c>
    </row>
    <row r="39" spans="1:10" x14ac:dyDescent="0.3">
      <c r="A39" s="80" t="s">
        <v>87</v>
      </c>
      <c r="B39" s="83">
        <v>5</v>
      </c>
      <c r="C39" s="83"/>
      <c r="D39" s="92">
        <v>28</v>
      </c>
      <c r="E39" s="92"/>
      <c r="F39" s="82">
        <f>SUM(B39+D39)</f>
        <v>33</v>
      </c>
      <c r="H39">
        <v>2</v>
      </c>
      <c r="I39">
        <v>1</v>
      </c>
      <c r="J39">
        <v>1</v>
      </c>
    </row>
    <row r="40" spans="1:10" x14ac:dyDescent="0.3">
      <c r="A40" s="80" t="s">
        <v>73</v>
      </c>
      <c r="B40" s="83">
        <v>2</v>
      </c>
      <c r="C40" s="83"/>
      <c r="D40" s="92">
        <v>15</v>
      </c>
      <c r="E40" s="92"/>
      <c r="F40" s="82">
        <f>SUM(B40+D40)</f>
        <v>17</v>
      </c>
      <c r="H40">
        <v>2</v>
      </c>
      <c r="I40">
        <v>1</v>
      </c>
      <c r="J40">
        <v>2</v>
      </c>
    </row>
    <row r="41" spans="1:10" x14ac:dyDescent="0.3">
      <c r="A41" s="85"/>
      <c r="B41" s="86">
        <f>SUM(B39:B40)</f>
        <v>7</v>
      </c>
      <c r="C41" s="86"/>
      <c r="D41" s="87">
        <f>SUM(D39:D40)</f>
        <v>43</v>
      </c>
      <c r="E41" s="87"/>
      <c r="F41" s="82">
        <f>SUM(F39:F40)</f>
        <v>50</v>
      </c>
      <c r="H41">
        <v>2</v>
      </c>
      <c r="I41">
        <v>2</v>
      </c>
      <c r="J41">
        <v>1</v>
      </c>
    </row>
    <row r="42" spans="1:10" x14ac:dyDescent="0.3">
      <c r="A42" s="40"/>
      <c r="B42" s="84" t="s">
        <v>134</v>
      </c>
      <c r="C42" s="84"/>
      <c r="D42" s="84" t="s">
        <v>132</v>
      </c>
      <c r="E42" s="84"/>
      <c r="F42" s="73"/>
      <c r="H42">
        <v>1</v>
      </c>
      <c r="I42">
        <v>2</v>
      </c>
      <c r="J42">
        <v>1</v>
      </c>
    </row>
    <row r="43" spans="1:10" x14ac:dyDescent="0.3">
      <c r="A43" s="82" t="s">
        <v>87</v>
      </c>
      <c r="B43" s="81">
        <f>B41*F39/F41</f>
        <v>4.62</v>
      </c>
      <c r="C43" s="81"/>
      <c r="D43" s="81">
        <f>D41*F39/F41</f>
        <v>28.38</v>
      </c>
      <c r="E43" s="81"/>
      <c r="F43" s="73"/>
      <c r="H43">
        <v>1</v>
      </c>
      <c r="I43">
        <v>1</v>
      </c>
      <c r="J43">
        <v>2</v>
      </c>
    </row>
    <row r="44" spans="1:10" x14ac:dyDescent="0.3">
      <c r="A44" s="82" t="s">
        <v>73</v>
      </c>
      <c r="B44" s="81">
        <f>B41*F40/F41</f>
        <v>2.38</v>
      </c>
      <c r="C44" s="81"/>
      <c r="D44" s="81">
        <f>D41*F40/F41</f>
        <v>14.62</v>
      </c>
      <c r="E44" s="81"/>
      <c r="F44" s="73"/>
      <c r="H44">
        <v>2</v>
      </c>
      <c r="I44">
        <v>2</v>
      </c>
      <c r="J44">
        <v>1</v>
      </c>
    </row>
    <row r="45" spans="1:10" x14ac:dyDescent="0.3">
      <c r="A45" s="88"/>
      <c r="B45" s="88"/>
      <c r="C45" s="88"/>
      <c r="D45" s="88"/>
      <c r="E45" s="88"/>
      <c r="F45" s="73"/>
      <c r="H45">
        <v>1</v>
      </c>
      <c r="I45">
        <v>1</v>
      </c>
      <c r="J45">
        <v>1</v>
      </c>
    </row>
    <row r="46" spans="1:10" x14ac:dyDescent="0.3">
      <c r="A46" s="88" t="s">
        <v>135</v>
      </c>
      <c r="B46" s="89">
        <f>CHITEST(B39:E40,B43:E44)</f>
        <v>0.99099764127511381</v>
      </c>
      <c r="C46" s="88"/>
      <c r="D46" s="88"/>
      <c r="E46" s="88"/>
      <c r="F46" s="73"/>
      <c r="H46">
        <v>1</v>
      </c>
    </row>
    <row r="47" spans="1:10" x14ac:dyDescent="0.3">
      <c r="H47">
        <v>2</v>
      </c>
    </row>
    <row r="48" spans="1:10" x14ac:dyDescent="0.3">
      <c r="H48">
        <v>2</v>
      </c>
    </row>
    <row r="49" spans="8:8" x14ac:dyDescent="0.3">
      <c r="H49">
        <v>1</v>
      </c>
    </row>
  </sheetData>
  <mergeCells count="38">
    <mergeCell ref="B44:C44"/>
    <mergeCell ref="D44:E44"/>
    <mergeCell ref="B41:C41"/>
    <mergeCell ref="D41:E41"/>
    <mergeCell ref="B42:C42"/>
    <mergeCell ref="D42:E42"/>
    <mergeCell ref="B43:C43"/>
    <mergeCell ref="D43:E43"/>
    <mergeCell ref="B38:C38"/>
    <mergeCell ref="D38:E38"/>
    <mergeCell ref="B39:C39"/>
    <mergeCell ref="D39:E39"/>
    <mergeCell ref="B40:C40"/>
    <mergeCell ref="D40:E40"/>
    <mergeCell ref="B34:C34"/>
    <mergeCell ref="D34:E34"/>
    <mergeCell ref="B35:C35"/>
    <mergeCell ref="D35:E35"/>
    <mergeCell ref="A32:A33"/>
    <mergeCell ref="B32:C33"/>
    <mergeCell ref="D32:E33"/>
    <mergeCell ref="F32:F33"/>
    <mergeCell ref="G32:G33"/>
    <mergeCell ref="N14:N16"/>
    <mergeCell ref="O1:Q1"/>
    <mergeCell ref="N2:N4"/>
    <mergeCell ref="O7:Q7"/>
    <mergeCell ref="N8:N10"/>
    <mergeCell ref="O13:Q13"/>
    <mergeCell ref="B1:D1"/>
    <mergeCell ref="A2:A4"/>
    <mergeCell ref="E10:F12"/>
    <mergeCell ref="A18:A21"/>
    <mergeCell ref="B18:B21"/>
    <mergeCell ref="C18:C21"/>
    <mergeCell ref="D18:D21"/>
    <mergeCell ref="E18:E21"/>
    <mergeCell ref="F18:F21"/>
  </mergeCells>
  <conditionalFormatting sqref="H1:J49">
    <cfRule type="cellIs" dxfId="115" priority="5" operator="equal">
      <formula>1</formula>
    </cfRule>
    <cfRule type="cellIs" dxfId="114" priority="6" operator="equal">
      <formula>2</formula>
    </cfRule>
  </conditionalFormatting>
  <conditionalFormatting sqref="A43:B44 A45:E46 D42:D44 B42">
    <cfRule type="cellIs" dxfId="23" priority="1" operator="equal">
      <formula>1</formula>
    </cfRule>
    <cfRule type="cellIs" dxfId="22" priority="2" operator="equal">
      <formula>2</formula>
    </cfRule>
    <cfRule type="cellIs" dxfId="21" priority="3" operator="equal">
      <formula>1</formula>
    </cfRule>
    <cfRule type="cellIs" dxfId="20" priority="4" operator="equal">
      <formula>2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4D6D4-5E1E-45D3-B3CE-33E1CA02CA59}">
  <dimension ref="A1:W49"/>
  <sheetViews>
    <sheetView topLeftCell="A25" workbookViewId="0">
      <selection activeCell="D41" sqref="D41:E41"/>
    </sheetView>
  </sheetViews>
  <sheetFormatPr defaultRowHeight="14.4" x14ac:dyDescent="0.3"/>
  <cols>
    <col min="3" max="3" width="9.77734375" customWidth="1"/>
  </cols>
  <sheetData>
    <row r="1" spans="1:23" x14ac:dyDescent="0.3">
      <c r="A1" s="5"/>
      <c r="B1" s="53" t="s">
        <v>90</v>
      </c>
      <c r="C1" s="53"/>
      <c r="D1" s="53"/>
      <c r="E1" s="5"/>
      <c r="H1">
        <v>2</v>
      </c>
      <c r="I1">
        <v>1</v>
      </c>
      <c r="J1">
        <v>2</v>
      </c>
      <c r="K1">
        <v>1</v>
      </c>
      <c r="N1" s="5" t="s">
        <v>113</v>
      </c>
      <c r="O1" s="53" t="s">
        <v>90</v>
      </c>
      <c r="P1" s="53"/>
      <c r="Q1" s="53"/>
      <c r="R1" s="5"/>
      <c r="T1" s="9" t="s">
        <v>83</v>
      </c>
      <c r="U1" s="9" t="s">
        <v>84</v>
      </c>
      <c r="V1" s="9" t="s">
        <v>85</v>
      </c>
      <c r="W1" s="9" t="s">
        <v>86</v>
      </c>
    </row>
    <row r="2" spans="1:23" x14ac:dyDescent="0.3">
      <c r="A2" s="53" t="s">
        <v>89</v>
      </c>
      <c r="B2" s="5"/>
      <c r="C2" s="5" t="s">
        <v>87</v>
      </c>
      <c r="D2" s="5" t="s">
        <v>75</v>
      </c>
      <c r="E2" s="5" t="s">
        <v>88</v>
      </c>
      <c r="H2">
        <v>2</v>
      </c>
      <c r="I2">
        <v>1</v>
      </c>
      <c r="J2">
        <v>2</v>
      </c>
      <c r="K2">
        <v>2</v>
      </c>
      <c r="N2" s="53" t="s">
        <v>89</v>
      </c>
      <c r="O2" s="5"/>
      <c r="P2" s="5" t="s">
        <v>87</v>
      </c>
      <c r="Q2" s="5" t="s">
        <v>75</v>
      </c>
      <c r="R2" s="5" t="s">
        <v>88</v>
      </c>
      <c r="T2" s="41">
        <f>P3/(P3+Q3)</f>
        <v>0.1</v>
      </c>
      <c r="U2" s="41">
        <f>1-T2</f>
        <v>0.9</v>
      </c>
      <c r="V2" s="41">
        <f>Q4/(Q4+P4)</f>
        <v>0.28000000000000003</v>
      </c>
      <c r="W2" s="41">
        <f>1-V2</f>
        <v>0.72</v>
      </c>
    </row>
    <row r="3" spans="1:23" x14ac:dyDescent="0.3">
      <c r="A3" s="53"/>
      <c r="B3" s="5" t="s">
        <v>87</v>
      </c>
      <c r="C3" s="7">
        <v>38</v>
      </c>
      <c r="D3" s="7">
        <v>56</v>
      </c>
      <c r="E3" s="7">
        <f>C3+D3</f>
        <v>94</v>
      </c>
      <c r="H3">
        <v>2</v>
      </c>
      <c r="I3">
        <v>2</v>
      </c>
      <c r="J3">
        <v>2</v>
      </c>
      <c r="K3">
        <v>1</v>
      </c>
      <c r="N3" s="53"/>
      <c r="O3" s="5" t="s">
        <v>87</v>
      </c>
      <c r="P3" s="7">
        <v>2</v>
      </c>
      <c r="Q3" s="7">
        <v>18</v>
      </c>
      <c r="R3" s="7">
        <f>P3+Q3</f>
        <v>20</v>
      </c>
      <c r="T3" t="s">
        <v>116</v>
      </c>
    </row>
    <row r="4" spans="1:23" x14ac:dyDescent="0.3">
      <c r="A4" s="53"/>
      <c r="B4" s="5" t="s">
        <v>75</v>
      </c>
      <c r="C4" s="7">
        <v>57</v>
      </c>
      <c r="D4" s="7">
        <v>26</v>
      </c>
      <c r="E4" s="7">
        <f>C4+D4</f>
        <v>83</v>
      </c>
      <c r="H4">
        <v>1</v>
      </c>
      <c r="I4">
        <v>2</v>
      </c>
      <c r="J4">
        <v>2</v>
      </c>
      <c r="K4">
        <v>2</v>
      </c>
      <c r="N4" s="53"/>
      <c r="O4" s="5" t="s">
        <v>75</v>
      </c>
      <c r="P4" s="7">
        <v>18</v>
      </c>
      <c r="Q4" s="7">
        <v>7</v>
      </c>
      <c r="R4" s="7">
        <f>P4+Q4</f>
        <v>25</v>
      </c>
    </row>
    <row r="5" spans="1:23" x14ac:dyDescent="0.3">
      <c r="A5" s="5" t="s">
        <v>88</v>
      </c>
      <c r="B5" s="5"/>
      <c r="C5" s="7">
        <f>C3+C4</f>
        <v>95</v>
      </c>
      <c r="D5" s="7">
        <f>D3+D4</f>
        <v>82</v>
      </c>
      <c r="E5" s="7">
        <f>E3+E4</f>
        <v>177</v>
      </c>
      <c r="H5">
        <v>2</v>
      </c>
      <c r="I5">
        <v>1</v>
      </c>
      <c r="J5">
        <v>1</v>
      </c>
      <c r="K5">
        <v>1</v>
      </c>
      <c r="N5" s="5" t="s">
        <v>88</v>
      </c>
      <c r="O5" s="5"/>
      <c r="P5" s="7">
        <f>P3+P4</f>
        <v>20</v>
      </c>
      <c r="Q5" s="7">
        <f>Q3+Q4</f>
        <v>25</v>
      </c>
      <c r="R5" s="7">
        <f>R3+R4</f>
        <v>45</v>
      </c>
    </row>
    <row r="6" spans="1:23" x14ac:dyDescent="0.3">
      <c r="H6">
        <v>1</v>
      </c>
      <c r="I6">
        <v>2</v>
      </c>
      <c r="J6">
        <v>1</v>
      </c>
      <c r="K6">
        <v>1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2</v>
      </c>
      <c r="I7">
        <v>2</v>
      </c>
      <c r="J7">
        <v>2</v>
      </c>
      <c r="K7">
        <v>2</v>
      </c>
      <c r="N7" s="5" t="s">
        <v>114</v>
      </c>
      <c r="O7" s="53" t="s">
        <v>90</v>
      </c>
      <c r="P7" s="53"/>
      <c r="Q7" s="53"/>
      <c r="R7" s="5"/>
      <c r="T7" s="9" t="s">
        <v>83</v>
      </c>
      <c r="U7" s="9" t="s">
        <v>84</v>
      </c>
      <c r="V7" s="9" t="s">
        <v>85</v>
      </c>
      <c r="W7" s="9" t="s">
        <v>86</v>
      </c>
    </row>
    <row r="8" spans="1:23" x14ac:dyDescent="0.3">
      <c r="A8" s="8">
        <f>C3/C5</f>
        <v>0.4</v>
      </c>
      <c r="B8" s="8">
        <f>1-A8</f>
        <v>0.6</v>
      </c>
      <c r="C8" s="8">
        <f>D4/E4</f>
        <v>0.31325301204819278</v>
      </c>
      <c r="D8" s="8">
        <f>1-C8</f>
        <v>0.68674698795180722</v>
      </c>
      <c r="H8">
        <v>2</v>
      </c>
      <c r="I8">
        <v>2</v>
      </c>
      <c r="J8">
        <v>1</v>
      </c>
      <c r="K8">
        <v>1</v>
      </c>
      <c r="N8" s="53" t="s">
        <v>89</v>
      </c>
      <c r="O8" s="5"/>
      <c r="P8" s="5" t="s">
        <v>87</v>
      </c>
      <c r="Q8" s="5" t="s">
        <v>75</v>
      </c>
      <c r="R8" s="5" t="s">
        <v>88</v>
      </c>
      <c r="T8" s="41">
        <f>P9/(P9+Q9)</f>
        <v>0.36</v>
      </c>
      <c r="U8" s="41">
        <f>1-T8</f>
        <v>0.64</v>
      </c>
      <c r="V8" s="41">
        <f>Q10/(Q10+P10)</f>
        <v>0.30434782608695654</v>
      </c>
      <c r="W8" s="41">
        <f>1-V8</f>
        <v>0.69565217391304346</v>
      </c>
    </row>
    <row r="9" spans="1:23" x14ac:dyDescent="0.3">
      <c r="H9">
        <v>1</v>
      </c>
      <c r="I9">
        <v>1</v>
      </c>
      <c r="J9">
        <v>2</v>
      </c>
      <c r="K9">
        <v>1</v>
      </c>
      <c r="N9" s="53"/>
      <c r="O9" s="5" t="s">
        <v>87</v>
      </c>
      <c r="P9" s="7">
        <v>9</v>
      </c>
      <c r="Q9" s="7">
        <v>16</v>
      </c>
      <c r="R9" s="7">
        <f>P9+Q9</f>
        <v>25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2</v>
      </c>
      <c r="I10">
        <v>2</v>
      </c>
      <c r="J10">
        <v>1</v>
      </c>
      <c r="K10">
        <v>2</v>
      </c>
      <c r="N10" s="53"/>
      <c r="O10" s="5" t="s">
        <v>75</v>
      </c>
      <c r="P10" s="7">
        <v>16</v>
      </c>
      <c r="Q10" s="7">
        <v>7</v>
      </c>
      <c r="R10" s="7">
        <f>P10+Q10</f>
        <v>23</v>
      </c>
    </row>
    <row r="11" spans="1:23" x14ac:dyDescent="0.3">
      <c r="A11" s="43">
        <f>C3/E3</f>
        <v>0.40425531914893614</v>
      </c>
      <c r="B11" s="43">
        <f>1-A11</f>
        <v>0.5957446808510638</v>
      </c>
      <c r="C11" s="43">
        <f>D4/E4</f>
        <v>0.31325301204819278</v>
      </c>
      <c r="D11" s="43">
        <f>1-C11</f>
        <v>0.68674698795180722</v>
      </c>
      <c r="E11" s="59"/>
      <c r="F11" s="59"/>
      <c r="H11">
        <v>2</v>
      </c>
      <c r="I11">
        <v>1</v>
      </c>
      <c r="J11">
        <v>1</v>
      </c>
      <c r="K11">
        <v>1</v>
      </c>
      <c r="N11" s="5" t="s">
        <v>88</v>
      </c>
      <c r="O11" s="5"/>
      <c r="P11" s="7">
        <f>P9+P10</f>
        <v>25</v>
      </c>
      <c r="Q11" s="7">
        <f>Q9+Q10</f>
        <v>23</v>
      </c>
      <c r="R11" s="7">
        <f>R9+R10</f>
        <v>48</v>
      </c>
    </row>
    <row r="12" spans="1:23" x14ac:dyDescent="0.3">
      <c r="E12" s="59"/>
      <c r="F12" s="59"/>
      <c r="H12">
        <v>2</v>
      </c>
      <c r="I12">
        <v>1</v>
      </c>
      <c r="J12">
        <v>1</v>
      </c>
      <c r="K12">
        <v>1</v>
      </c>
    </row>
    <row r="13" spans="1:23" x14ac:dyDescent="0.3">
      <c r="H13">
        <v>1</v>
      </c>
      <c r="I13">
        <v>2</v>
      </c>
      <c r="J13">
        <v>2</v>
      </c>
      <c r="K13">
        <v>2</v>
      </c>
      <c r="N13" s="5" t="s">
        <v>115</v>
      </c>
      <c r="O13" s="53" t="s">
        <v>90</v>
      </c>
      <c r="P13" s="53"/>
      <c r="Q13" s="53"/>
      <c r="R13" s="5"/>
      <c r="T13" s="9" t="s">
        <v>83</v>
      </c>
      <c r="U13" s="9" t="s">
        <v>84</v>
      </c>
      <c r="V13" s="9" t="s">
        <v>85</v>
      </c>
      <c r="W13" s="9" t="s">
        <v>86</v>
      </c>
    </row>
    <row r="14" spans="1:23" x14ac:dyDescent="0.3">
      <c r="H14">
        <v>2</v>
      </c>
      <c r="I14">
        <v>1</v>
      </c>
      <c r="J14">
        <v>1</v>
      </c>
      <c r="K14">
        <v>1</v>
      </c>
      <c r="N14" s="53" t="s">
        <v>89</v>
      </c>
      <c r="O14" s="5"/>
      <c r="P14" s="5" t="s">
        <v>87</v>
      </c>
      <c r="Q14" s="5" t="s">
        <v>75</v>
      </c>
      <c r="R14" s="5" t="s">
        <v>88</v>
      </c>
      <c r="T14" s="41">
        <f>P15/(P15+Q15)</f>
        <v>0.70833333333333337</v>
      </c>
      <c r="U14" s="41">
        <f>1-T14</f>
        <v>0.29166666666666663</v>
      </c>
      <c r="V14" s="41">
        <f>Q16/(Q16+P16)</f>
        <v>0.52941176470588236</v>
      </c>
      <c r="W14" s="41">
        <f>1-V14</f>
        <v>0.47058823529411764</v>
      </c>
    </row>
    <row r="15" spans="1:23" x14ac:dyDescent="0.3">
      <c r="H15">
        <v>1</v>
      </c>
      <c r="I15">
        <v>1</v>
      </c>
      <c r="J15">
        <v>1</v>
      </c>
      <c r="K15">
        <v>2</v>
      </c>
      <c r="N15" s="53"/>
      <c r="O15" s="5" t="s">
        <v>87</v>
      </c>
      <c r="P15" s="7">
        <v>17</v>
      </c>
      <c r="Q15" s="7">
        <v>7</v>
      </c>
      <c r="R15" s="7">
        <f>P15+Q15</f>
        <v>24</v>
      </c>
    </row>
    <row r="16" spans="1:23" x14ac:dyDescent="0.3">
      <c r="H16">
        <v>2</v>
      </c>
      <c r="I16">
        <v>2</v>
      </c>
      <c r="J16">
        <v>2</v>
      </c>
      <c r="K16">
        <v>2</v>
      </c>
      <c r="N16" s="53"/>
      <c r="O16" s="5" t="s">
        <v>75</v>
      </c>
      <c r="P16" s="7">
        <v>8</v>
      </c>
      <c r="Q16" s="7">
        <v>9</v>
      </c>
      <c r="R16" s="7">
        <f>P16+Q16</f>
        <v>17</v>
      </c>
    </row>
    <row r="17" spans="1:23" x14ac:dyDescent="0.3">
      <c r="H17">
        <v>2</v>
      </c>
      <c r="I17">
        <v>1</v>
      </c>
      <c r="J17">
        <v>2</v>
      </c>
      <c r="K17">
        <v>1</v>
      </c>
      <c r="N17" s="5" t="s">
        <v>88</v>
      </c>
      <c r="O17" s="5"/>
      <c r="P17" s="7">
        <f>P15+P16</f>
        <v>25</v>
      </c>
      <c r="Q17" s="7">
        <f>Q15+Q16</f>
        <v>16</v>
      </c>
      <c r="R17" s="7">
        <f>R15+R16</f>
        <v>41</v>
      </c>
    </row>
    <row r="18" spans="1:23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1</v>
      </c>
      <c r="I18">
        <v>2</v>
      </c>
      <c r="J18">
        <v>1</v>
      </c>
      <c r="K18">
        <v>2</v>
      </c>
    </row>
    <row r="19" spans="1:23" x14ac:dyDescent="0.3">
      <c r="A19" s="54"/>
      <c r="B19" s="54"/>
      <c r="C19" s="69"/>
      <c r="D19" s="54"/>
      <c r="E19" s="54"/>
      <c r="F19" s="54"/>
      <c r="H19">
        <v>2</v>
      </c>
      <c r="I19">
        <v>1</v>
      </c>
      <c r="J19">
        <v>1</v>
      </c>
      <c r="K19">
        <v>1</v>
      </c>
      <c r="N19" s="5" t="s">
        <v>117</v>
      </c>
      <c r="O19" s="53" t="s">
        <v>90</v>
      </c>
      <c r="P19" s="53"/>
      <c r="Q19" s="53"/>
      <c r="R19" s="5"/>
      <c r="T19" s="9" t="s">
        <v>83</v>
      </c>
      <c r="U19" s="9" t="s">
        <v>84</v>
      </c>
      <c r="V19" s="9" t="s">
        <v>85</v>
      </c>
      <c r="W19" s="9" t="s">
        <v>86</v>
      </c>
    </row>
    <row r="20" spans="1:23" x14ac:dyDescent="0.3">
      <c r="A20" s="54"/>
      <c r="B20" s="54"/>
      <c r="C20" s="69"/>
      <c r="D20" s="54"/>
      <c r="E20" s="54"/>
      <c r="F20" s="54"/>
      <c r="H20">
        <v>1</v>
      </c>
      <c r="I20">
        <v>1</v>
      </c>
      <c r="J20">
        <v>1</v>
      </c>
      <c r="K20">
        <v>2</v>
      </c>
      <c r="N20" s="53" t="s">
        <v>89</v>
      </c>
      <c r="O20" s="5"/>
      <c r="P20" s="5" t="s">
        <v>87</v>
      </c>
      <c r="Q20" s="5" t="s">
        <v>75</v>
      </c>
      <c r="R20" s="5" t="s">
        <v>88</v>
      </c>
      <c r="T20" s="41">
        <f>P21/(P21+Q21)</f>
        <v>0.4</v>
      </c>
      <c r="U20" s="41">
        <f>1-T20</f>
        <v>0.6</v>
      </c>
      <c r="V20" s="40">
        <f>Q22/(Q22+P22)</f>
        <v>0.16666666666666666</v>
      </c>
      <c r="W20" s="40">
        <f>1-V20</f>
        <v>0.83333333333333337</v>
      </c>
    </row>
    <row r="21" spans="1:23" x14ac:dyDescent="0.3">
      <c r="A21" s="54"/>
      <c r="B21" s="54"/>
      <c r="C21" s="70"/>
      <c r="D21" s="54"/>
      <c r="E21" s="54"/>
      <c r="F21" s="54"/>
      <c r="H21">
        <v>1</v>
      </c>
      <c r="I21">
        <v>2</v>
      </c>
      <c r="J21">
        <v>1</v>
      </c>
      <c r="K21">
        <v>1</v>
      </c>
      <c r="N21" s="53"/>
      <c r="O21" s="5" t="s">
        <v>87</v>
      </c>
      <c r="P21" s="7">
        <v>10</v>
      </c>
      <c r="Q21" s="7">
        <v>15</v>
      </c>
      <c r="R21" s="7">
        <f>P21+Q21</f>
        <v>25</v>
      </c>
    </row>
    <row r="22" spans="1:23" x14ac:dyDescent="0.3">
      <c r="A22" s="37">
        <v>1</v>
      </c>
      <c r="B22" s="37">
        <v>79</v>
      </c>
      <c r="C22" s="40">
        <f>($C$4*$D$11*$A$11^0)+($D$3*$B$11*$C$11^0)</f>
        <v>72.506280440912576</v>
      </c>
      <c r="D22" s="37">
        <v>81.471000000000004</v>
      </c>
      <c r="E22" s="5" t="s">
        <v>125</v>
      </c>
      <c r="F22" s="5" t="s">
        <v>125</v>
      </c>
      <c r="H22">
        <v>2</v>
      </c>
      <c r="I22">
        <v>1</v>
      </c>
      <c r="J22">
        <v>2</v>
      </c>
      <c r="K22">
        <v>1</v>
      </c>
      <c r="N22" s="53"/>
      <c r="O22" s="5" t="s">
        <v>75</v>
      </c>
      <c r="P22" s="7">
        <v>15</v>
      </c>
      <c r="Q22" s="7">
        <v>3</v>
      </c>
      <c r="R22" s="7">
        <f>P22+Q22</f>
        <v>18</v>
      </c>
    </row>
    <row r="23" spans="1:23" x14ac:dyDescent="0.3">
      <c r="A23" s="37">
        <v>2</v>
      </c>
      <c r="B23" s="37">
        <v>25</v>
      </c>
      <c r="C23" s="40">
        <f>($C$4*$D$11*$A$11^1)+($D$3*$B$11*$C$11^1)</f>
        <v>26.275057677518582</v>
      </c>
      <c r="D23" s="37">
        <v>22.33</v>
      </c>
      <c r="E23" s="5" t="s">
        <v>125</v>
      </c>
      <c r="F23" s="5" t="s">
        <v>125</v>
      </c>
      <c r="H23">
        <v>1</v>
      </c>
      <c r="I23">
        <v>1</v>
      </c>
      <c r="J23">
        <v>1</v>
      </c>
      <c r="K23">
        <v>1</v>
      </c>
      <c r="N23" s="5" t="s">
        <v>88</v>
      </c>
      <c r="O23" s="5"/>
      <c r="P23" s="7">
        <f>P21+P22</f>
        <v>25</v>
      </c>
      <c r="Q23" s="7">
        <f>Q21+Q22</f>
        <v>18</v>
      </c>
      <c r="R23" s="7">
        <f>R21+R22</f>
        <v>43</v>
      </c>
    </row>
    <row r="24" spans="1:23" x14ac:dyDescent="0.3">
      <c r="A24" s="37">
        <v>3</v>
      </c>
      <c r="B24" s="37">
        <v>7</v>
      </c>
      <c r="C24" s="40">
        <f>($C$4*$D$11*$A$11^2)+($D$3*$B$11*$C$11^2)</f>
        <v>9.6707982316236087</v>
      </c>
      <c r="D24" s="37">
        <v>7.3940000000000001</v>
      </c>
      <c r="E24" s="37">
        <v>3</v>
      </c>
      <c r="F24" s="5">
        <v>4</v>
      </c>
      <c r="H24">
        <v>1</v>
      </c>
      <c r="I24">
        <v>1</v>
      </c>
      <c r="J24">
        <v>1</v>
      </c>
      <c r="K24">
        <v>1</v>
      </c>
    </row>
    <row r="25" spans="1:23" x14ac:dyDescent="0.3">
      <c r="A25" s="37">
        <v>4</v>
      </c>
      <c r="B25" s="37">
        <v>1</v>
      </c>
      <c r="C25" s="40">
        <f>($C$4*$D$11*$A$11^3)+($D$3*$B$11*$C$11^3)</f>
        <v>3.611557487213612</v>
      </c>
      <c r="D25" s="37">
        <v>2.9220000000000002</v>
      </c>
      <c r="E25" s="5">
        <v>1</v>
      </c>
      <c r="F25" s="5">
        <v>0</v>
      </c>
      <c r="H25">
        <v>2</v>
      </c>
      <c r="I25">
        <v>2</v>
      </c>
      <c r="J25">
        <v>1</v>
      </c>
      <c r="K25">
        <v>1</v>
      </c>
      <c r="N25" s="1"/>
      <c r="O25" s="52"/>
      <c r="P25" s="52"/>
      <c r="Q25" s="52"/>
      <c r="R25" s="1"/>
      <c r="T25" s="4"/>
      <c r="U25" s="4"/>
      <c r="V25" s="4"/>
      <c r="W25" s="4"/>
    </row>
    <row r="26" spans="1:23" x14ac:dyDescent="0.3">
      <c r="A26" s="37">
        <v>5</v>
      </c>
      <c r="B26" s="37">
        <v>2</v>
      </c>
      <c r="C26" s="40">
        <f>($C$4*$D$11*$A$11^4)+($D$3*$B$11*$C$11^4)</f>
        <v>1.3666688234526627</v>
      </c>
      <c r="D26" s="37">
        <v>1.2130000000000001</v>
      </c>
      <c r="E26" s="5">
        <v>2</v>
      </c>
      <c r="F26" s="5">
        <v>0</v>
      </c>
      <c r="H26">
        <v>1</v>
      </c>
      <c r="I26">
        <v>1</v>
      </c>
      <c r="J26">
        <v>1</v>
      </c>
      <c r="K26">
        <v>2</v>
      </c>
      <c r="N26" s="52"/>
      <c r="O26" s="1"/>
      <c r="P26" s="1"/>
      <c r="Q26" s="1"/>
      <c r="R26" s="1"/>
      <c r="T26" s="8"/>
      <c r="U26" s="8"/>
    </row>
    <row r="27" spans="1:23" x14ac:dyDescent="0.3">
      <c r="A27" s="37">
        <v>6</v>
      </c>
      <c r="B27" s="37">
        <v>1</v>
      </c>
      <c r="C27" s="40">
        <f>($C$4*$D$11*$A$11^5)+($D$3*$B$11*$C$11^5)</f>
        <v>0.52324958681376021</v>
      </c>
      <c r="D27" s="37">
        <v>0.63200000000000001</v>
      </c>
      <c r="E27" s="5">
        <v>0</v>
      </c>
      <c r="F27" s="5">
        <v>1</v>
      </c>
      <c r="H27">
        <v>2</v>
      </c>
      <c r="I27">
        <v>2</v>
      </c>
      <c r="J27">
        <v>1</v>
      </c>
      <c r="K27">
        <v>1</v>
      </c>
      <c r="N27" s="52"/>
      <c r="O27" s="1"/>
      <c r="P27" s="6"/>
      <c r="Q27" s="6"/>
      <c r="R27" s="6"/>
    </row>
    <row r="28" spans="1:23" x14ac:dyDescent="0.3">
      <c r="A28" s="37">
        <v>7</v>
      </c>
      <c r="B28" s="37">
        <v>1</v>
      </c>
      <c r="C28" s="40">
        <f>($C$4*$D$11*$A$11^6)+($D$3*$B$11*$C$11^6)</f>
        <v>0.2023689296862598</v>
      </c>
      <c r="D28" s="37">
        <v>0.35099999999999998</v>
      </c>
      <c r="E28" s="5">
        <v>1</v>
      </c>
      <c r="F28" s="5">
        <v>0</v>
      </c>
      <c r="H28">
        <v>2</v>
      </c>
      <c r="I28">
        <v>1</v>
      </c>
      <c r="J28">
        <v>1</v>
      </c>
      <c r="K28">
        <v>1</v>
      </c>
      <c r="N28" s="52"/>
      <c r="O28" s="1"/>
      <c r="P28" s="6"/>
      <c r="Q28" s="6"/>
      <c r="R28" s="6"/>
    </row>
    <row r="29" spans="1:23" x14ac:dyDescent="0.3">
      <c r="A29" s="37">
        <v>8</v>
      </c>
      <c r="B29" s="37">
        <v>0</v>
      </c>
      <c r="C29" s="40">
        <f>($C$4*$D$11*$A$11^7)+($D$3*$B$11*$C$11^7)</f>
        <v>7.8940102103523105E-2</v>
      </c>
      <c r="D29" s="37">
        <v>0.217</v>
      </c>
      <c r="E29" s="5">
        <v>0</v>
      </c>
      <c r="F29" s="5">
        <v>0</v>
      </c>
      <c r="H29">
        <v>1</v>
      </c>
      <c r="I29">
        <v>2</v>
      </c>
      <c r="J29">
        <v>1</v>
      </c>
      <c r="K29">
        <v>2</v>
      </c>
      <c r="N29" s="1"/>
      <c r="O29" s="1"/>
      <c r="P29" s="6"/>
      <c r="Q29" s="6"/>
      <c r="R29" s="6"/>
    </row>
    <row r="30" spans="1:23" x14ac:dyDescent="0.3">
      <c r="A30" s="37" t="s">
        <v>103</v>
      </c>
      <c r="B30" s="37">
        <v>0</v>
      </c>
      <c r="C30" s="40">
        <f>($C$4*$D$11*$A$11^8)+($D$3*$B$11*$C$11^8)</f>
        <v>3.1013354145795643E-2</v>
      </c>
      <c r="D30" s="37">
        <v>0.28699999999999998</v>
      </c>
      <c r="E30" s="5">
        <v>0</v>
      </c>
      <c r="F30" s="5">
        <v>0</v>
      </c>
      <c r="H30">
        <v>2</v>
      </c>
      <c r="I30">
        <v>2</v>
      </c>
      <c r="J30">
        <v>2</v>
      </c>
      <c r="K30">
        <v>2</v>
      </c>
    </row>
    <row r="31" spans="1:23" x14ac:dyDescent="0.3">
      <c r="H31">
        <v>1</v>
      </c>
      <c r="I31">
        <v>1</v>
      </c>
      <c r="J31">
        <v>2</v>
      </c>
      <c r="K31">
        <v>2</v>
      </c>
    </row>
    <row r="32" spans="1:23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2</v>
      </c>
      <c r="I32">
        <v>2</v>
      </c>
      <c r="J32">
        <v>2</v>
      </c>
      <c r="K32">
        <v>1</v>
      </c>
    </row>
    <row r="33" spans="1:11" x14ac:dyDescent="0.3">
      <c r="A33" s="53"/>
      <c r="B33" s="54"/>
      <c r="C33" s="54"/>
      <c r="D33" s="54"/>
      <c r="E33" s="54"/>
      <c r="F33" s="53"/>
      <c r="G33" s="53"/>
      <c r="H33">
        <v>1</v>
      </c>
      <c r="I33">
        <v>1</v>
      </c>
      <c r="J33">
        <v>2</v>
      </c>
      <c r="K33">
        <v>2</v>
      </c>
    </row>
    <row r="34" spans="1:11" x14ac:dyDescent="0.3">
      <c r="A34" s="5" t="s">
        <v>87</v>
      </c>
      <c r="B34" s="64">
        <f>E24+E25+E26+E27+E28+E29+E30</f>
        <v>7</v>
      </c>
      <c r="C34" s="65"/>
      <c r="D34" s="66">
        <f>E24*1+E25*2+E26*3+E27*4+E28*5+E29*6+E30*7</f>
        <v>16</v>
      </c>
      <c r="E34" s="67"/>
      <c r="F34" s="48">
        <f>B34/D34</f>
        <v>0.4375</v>
      </c>
      <c r="G34" s="49">
        <f>F34</f>
        <v>0.4375</v>
      </c>
      <c r="H34">
        <v>2</v>
      </c>
      <c r="I34">
        <v>2</v>
      </c>
      <c r="J34">
        <v>2</v>
      </c>
      <c r="K34">
        <v>1</v>
      </c>
    </row>
    <row r="35" spans="1:11" x14ac:dyDescent="0.3">
      <c r="A35" s="5" t="s">
        <v>75</v>
      </c>
      <c r="B35" s="64">
        <f>F24+F25+F26+F27+F28+F29+F30</f>
        <v>5</v>
      </c>
      <c r="C35" s="65"/>
      <c r="D35" s="66">
        <f>F24*1+F25*2+F26*3+F27*4+F28*5+F29*6+F30*7</f>
        <v>8</v>
      </c>
      <c r="E35" s="67"/>
      <c r="F35" s="48">
        <f>B35/D35</f>
        <v>0.625</v>
      </c>
      <c r="G35" s="49">
        <f>F35</f>
        <v>0.625</v>
      </c>
      <c r="H35">
        <v>1</v>
      </c>
      <c r="I35">
        <v>2</v>
      </c>
      <c r="J35">
        <v>2</v>
      </c>
      <c r="K35">
        <v>2</v>
      </c>
    </row>
    <row r="36" spans="1:11" x14ac:dyDescent="0.3">
      <c r="H36">
        <v>2</v>
      </c>
      <c r="I36">
        <v>1</v>
      </c>
      <c r="J36">
        <v>1</v>
      </c>
      <c r="K36">
        <v>1</v>
      </c>
    </row>
    <row r="37" spans="1:11" x14ac:dyDescent="0.3">
      <c r="H37">
        <v>1</v>
      </c>
      <c r="I37">
        <v>1</v>
      </c>
      <c r="J37">
        <v>2</v>
      </c>
      <c r="K37">
        <v>2</v>
      </c>
    </row>
    <row r="38" spans="1:11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2</v>
      </c>
      <c r="I38">
        <v>2</v>
      </c>
      <c r="J38">
        <v>1</v>
      </c>
      <c r="K38">
        <v>1</v>
      </c>
    </row>
    <row r="39" spans="1:11" x14ac:dyDescent="0.3">
      <c r="A39" s="80" t="s">
        <v>87</v>
      </c>
      <c r="B39" s="83">
        <v>7</v>
      </c>
      <c r="C39" s="83"/>
      <c r="D39" s="92">
        <v>38</v>
      </c>
      <c r="E39" s="92"/>
      <c r="F39" s="82">
        <f>SUM(B39+D39)</f>
        <v>45</v>
      </c>
      <c r="H39">
        <v>1</v>
      </c>
      <c r="I39">
        <v>1</v>
      </c>
      <c r="J39">
        <v>1</v>
      </c>
      <c r="K39">
        <v>2</v>
      </c>
    </row>
    <row r="40" spans="1:11" x14ac:dyDescent="0.3">
      <c r="A40" s="80" t="s">
        <v>75</v>
      </c>
      <c r="B40" s="83">
        <v>5</v>
      </c>
      <c r="C40" s="83"/>
      <c r="D40" s="92">
        <v>26</v>
      </c>
      <c r="E40" s="92"/>
      <c r="F40" s="82">
        <f>SUM(B40+D40)</f>
        <v>31</v>
      </c>
      <c r="H40">
        <v>2</v>
      </c>
      <c r="I40">
        <v>1</v>
      </c>
      <c r="J40">
        <v>1</v>
      </c>
      <c r="K40">
        <v>1</v>
      </c>
    </row>
    <row r="41" spans="1:11" x14ac:dyDescent="0.3">
      <c r="A41" s="85"/>
      <c r="B41" s="86">
        <f>SUM(B39:B40)</f>
        <v>12</v>
      </c>
      <c r="C41" s="86"/>
      <c r="D41" s="87">
        <f>SUM(D39:D40)</f>
        <v>64</v>
      </c>
      <c r="E41" s="87"/>
      <c r="F41" s="82">
        <f>SUM(F39:F40)</f>
        <v>76</v>
      </c>
      <c r="H41">
        <v>1</v>
      </c>
      <c r="I41">
        <v>1</v>
      </c>
      <c r="J41">
        <v>1</v>
      </c>
      <c r="K41">
        <v>1</v>
      </c>
    </row>
    <row r="42" spans="1:11" x14ac:dyDescent="0.3">
      <c r="A42" s="40"/>
      <c r="B42" s="84" t="s">
        <v>134</v>
      </c>
      <c r="C42" s="84"/>
      <c r="D42" s="84" t="s">
        <v>132</v>
      </c>
      <c r="E42" s="84"/>
      <c r="F42" s="73"/>
      <c r="H42">
        <v>2</v>
      </c>
      <c r="I42">
        <v>2</v>
      </c>
      <c r="J42">
        <v>1</v>
      </c>
      <c r="K42">
        <v>2</v>
      </c>
    </row>
    <row r="43" spans="1:11" x14ac:dyDescent="0.3">
      <c r="A43" s="82" t="s">
        <v>87</v>
      </c>
      <c r="B43" s="81">
        <f>B41*F39/F41</f>
        <v>7.1052631578947372</v>
      </c>
      <c r="C43" s="81"/>
      <c r="D43" s="81">
        <f>D41*F39/F41</f>
        <v>37.89473684210526</v>
      </c>
      <c r="E43" s="81"/>
      <c r="F43" s="73"/>
      <c r="H43">
        <v>1</v>
      </c>
      <c r="I43">
        <v>2</v>
      </c>
      <c r="K43">
        <v>1</v>
      </c>
    </row>
    <row r="44" spans="1:11" x14ac:dyDescent="0.3">
      <c r="A44" s="82" t="s">
        <v>75</v>
      </c>
      <c r="B44" s="81">
        <f>B41*F40/F41</f>
        <v>4.8947368421052628</v>
      </c>
      <c r="C44" s="81"/>
      <c r="D44" s="81">
        <f>D41*F40/F41</f>
        <v>26.105263157894736</v>
      </c>
      <c r="E44" s="81"/>
      <c r="F44" s="73"/>
      <c r="H44">
        <v>2</v>
      </c>
      <c r="I44">
        <v>1</v>
      </c>
      <c r="K44">
        <v>1</v>
      </c>
    </row>
    <row r="45" spans="1:11" x14ac:dyDescent="0.3">
      <c r="A45" s="88"/>
      <c r="B45" s="88"/>
      <c r="C45" s="88"/>
      <c r="D45" s="88"/>
      <c r="E45" s="88"/>
      <c r="F45" s="73"/>
      <c r="H45">
        <v>1</v>
      </c>
      <c r="I45">
        <v>2</v>
      </c>
    </row>
    <row r="46" spans="1:11" x14ac:dyDescent="0.3">
      <c r="A46" s="88" t="s">
        <v>135</v>
      </c>
      <c r="B46" s="89">
        <f>CHITEST(B39:E40,B43:E44)</f>
        <v>0.99991875164453847</v>
      </c>
      <c r="C46" s="88"/>
      <c r="D46" s="88"/>
      <c r="E46" s="88"/>
      <c r="F46" s="73"/>
      <c r="H46">
        <v>2</v>
      </c>
      <c r="I46">
        <v>1</v>
      </c>
    </row>
    <row r="47" spans="1:11" x14ac:dyDescent="0.3">
      <c r="I47">
        <v>2</v>
      </c>
    </row>
    <row r="48" spans="1:11" x14ac:dyDescent="0.3">
      <c r="I48">
        <v>2</v>
      </c>
    </row>
    <row r="49" spans="9:9" x14ac:dyDescent="0.3">
      <c r="I49">
        <v>1</v>
      </c>
    </row>
  </sheetData>
  <mergeCells count="42">
    <mergeCell ref="B44:C44"/>
    <mergeCell ref="D44:E44"/>
    <mergeCell ref="B41:C41"/>
    <mergeCell ref="D41:E41"/>
    <mergeCell ref="B42:C42"/>
    <mergeCell ref="D42:E42"/>
    <mergeCell ref="B43:C43"/>
    <mergeCell ref="D43:E43"/>
    <mergeCell ref="B38:C38"/>
    <mergeCell ref="D38:E38"/>
    <mergeCell ref="B39:C39"/>
    <mergeCell ref="D39:E39"/>
    <mergeCell ref="B40:C40"/>
    <mergeCell ref="D40:E40"/>
    <mergeCell ref="B34:C34"/>
    <mergeCell ref="D34:E34"/>
    <mergeCell ref="B35:C35"/>
    <mergeCell ref="D35:E35"/>
    <mergeCell ref="A32:A33"/>
    <mergeCell ref="B32:C33"/>
    <mergeCell ref="D32:E33"/>
    <mergeCell ref="F32:F33"/>
    <mergeCell ref="G32:G33"/>
    <mergeCell ref="N14:N16"/>
    <mergeCell ref="O19:Q19"/>
    <mergeCell ref="N20:N22"/>
    <mergeCell ref="O25:Q25"/>
    <mergeCell ref="N26:N28"/>
    <mergeCell ref="O1:Q1"/>
    <mergeCell ref="N2:N4"/>
    <mergeCell ref="O7:Q7"/>
    <mergeCell ref="N8:N10"/>
    <mergeCell ref="O13:Q13"/>
    <mergeCell ref="B1:D1"/>
    <mergeCell ref="A2:A4"/>
    <mergeCell ref="E10:F12"/>
    <mergeCell ref="A18:A21"/>
    <mergeCell ref="B18:B21"/>
    <mergeCell ref="C18:C21"/>
    <mergeCell ref="D18:D21"/>
    <mergeCell ref="E18:E21"/>
    <mergeCell ref="F18:F21"/>
  </mergeCells>
  <conditionalFormatting sqref="H1:K49">
    <cfRule type="cellIs" dxfId="113" priority="5" operator="equal">
      <formula>1</formula>
    </cfRule>
    <cfRule type="cellIs" dxfId="112" priority="6" operator="equal">
      <formula>2</formula>
    </cfRule>
  </conditionalFormatting>
  <conditionalFormatting sqref="A43:B44 A45:E46 D42:D44 B42">
    <cfRule type="cellIs" dxfId="19" priority="1" operator="equal">
      <formula>1</formula>
    </cfRule>
    <cfRule type="cellIs" dxfId="18" priority="2" operator="equal">
      <formula>2</formula>
    </cfRule>
    <cfRule type="cellIs" dxfId="17" priority="3" operator="equal">
      <formula>1</formula>
    </cfRule>
    <cfRule type="cellIs" dxfId="16" priority="4" operator="equal">
      <formula>2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B8CF-E0E7-488B-8454-A3D3D61CADCE}">
  <dimension ref="A1:W55"/>
  <sheetViews>
    <sheetView topLeftCell="A22" workbookViewId="0">
      <selection activeCell="E48" sqref="E48"/>
    </sheetView>
  </sheetViews>
  <sheetFormatPr defaultRowHeight="14.4" x14ac:dyDescent="0.3"/>
  <cols>
    <col min="3" max="3" width="10.109375" customWidth="1"/>
  </cols>
  <sheetData>
    <row r="1" spans="1:23" x14ac:dyDescent="0.3">
      <c r="A1" s="5"/>
      <c r="B1" s="53" t="s">
        <v>90</v>
      </c>
      <c r="C1" s="53"/>
      <c r="D1" s="53"/>
      <c r="E1" s="5"/>
      <c r="H1">
        <v>2</v>
      </c>
      <c r="I1">
        <v>1</v>
      </c>
      <c r="J1">
        <v>2</v>
      </c>
      <c r="K1">
        <v>1</v>
      </c>
      <c r="L1">
        <v>2</v>
      </c>
      <c r="N1" s="5" t="s">
        <v>113</v>
      </c>
      <c r="O1" s="53" t="s">
        <v>90</v>
      </c>
      <c r="P1" s="53"/>
      <c r="Q1" s="53"/>
      <c r="R1" s="5"/>
      <c r="T1" s="9" t="s">
        <v>83</v>
      </c>
      <c r="U1" s="9" t="s">
        <v>84</v>
      </c>
      <c r="V1" s="9" t="s">
        <v>85</v>
      </c>
      <c r="W1" s="9" t="s">
        <v>86</v>
      </c>
    </row>
    <row r="2" spans="1:23" x14ac:dyDescent="0.3">
      <c r="A2" s="53" t="s">
        <v>89</v>
      </c>
      <c r="B2" s="5"/>
      <c r="C2" s="5" t="s">
        <v>87</v>
      </c>
      <c r="D2" s="5" t="s">
        <v>75</v>
      </c>
      <c r="E2" s="5" t="s">
        <v>88</v>
      </c>
      <c r="H2">
        <v>2</v>
      </c>
      <c r="I2">
        <v>1</v>
      </c>
      <c r="J2">
        <v>2</v>
      </c>
      <c r="K2">
        <v>2</v>
      </c>
      <c r="L2">
        <v>1</v>
      </c>
      <c r="N2" s="53" t="s">
        <v>89</v>
      </c>
      <c r="O2" s="5"/>
      <c r="P2" s="5" t="s">
        <v>87</v>
      </c>
      <c r="Q2" s="5" t="s">
        <v>75</v>
      </c>
      <c r="R2" s="5" t="s">
        <v>88</v>
      </c>
      <c r="T2" s="41">
        <f>P3/(P3+Q3)</f>
        <v>0.30769230769230771</v>
      </c>
      <c r="U2" s="41">
        <f>1-T2</f>
        <v>0.69230769230769229</v>
      </c>
      <c r="V2" s="41">
        <f>Q4/(Q4+P4)</f>
        <v>0.35714285714285715</v>
      </c>
      <c r="W2" s="41">
        <f>1-V2</f>
        <v>0.64285714285714279</v>
      </c>
    </row>
    <row r="3" spans="1:23" x14ac:dyDescent="0.3">
      <c r="A3" s="53"/>
      <c r="B3" s="5" t="s">
        <v>87</v>
      </c>
      <c r="C3" s="7">
        <v>33</v>
      </c>
      <c r="D3" s="7">
        <v>77</v>
      </c>
      <c r="E3" s="7">
        <f>C3+D3</f>
        <v>110</v>
      </c>
      <c r="H3">
        <v>2</v>
      </c>
      <c r="I3">
        <v>2</v>
      </c>
      <c r="J3">
        <v>1</v>
      </c>
      <c r="K3">
        <v>1</v>
      </c>
      <c r="L3">
        <v>2</v>
      </c>
      <c r="N3" s="53"/>
      <c r="O3" s="5" t="s">
        <v>87</v>
      </c>
      <c r="P3" s="7">
        <v>8</v>
      </c>
      <c r="Q3" s="7">
        <v>18</v>
      </c>
      <c r="R3" s="7">
        <f>P3+Q3</f>
        <v>26</v>
      </c>
      <c r="T3" t="s">
        <v>116</v>
      </c>
    </row>
    <row r="4" spans="1:23" x14ac:dyDescent="0.3">
      <c r="A4" s="53"/>
      <c r="B4" s="5" t="s">
        <v>75</v>
      </c>
      <c r="C4" s="7">
        <v>78</v>
      </c>
      <c r="D4" s="7">
        <v>30</v>
      </c>
      <c r="E4" s="7">
        <f>C4+D4</f>
        <v>108</v>
      </c>
      <c r="H4">
        <v>2</v>
      </c>
      <c r="I4">
        <v>1</v>
      </c>
      <c r="J4">
        <v>2</v>
      </c>
      <c r="K4">
        <v>2</v>
      </c>
      <c r="L4">
        <v>1</v>
      </c>
      <c r="N4" s="53"/>
      <c r="O4" s="5" t="s">
        <v>75</v>
      </c>
      <c r="P4" s="7">
        <v>18</v>
      </c>
      <c r="Q4" s="7">
        <v>10</v>
      </c>
      <c r="R4" s="7">
        <f>P4+Q4</f>
        <v>28</v>
      </c>
    </row>
    <row r="5" spans="1:23" x14ac:dyDescent="0.3">
      <c r="A5" s="5" t="s">
        <v>88</v>
      </c>
      <c r="B5" s="5"/>
      <c r="C5" s="7">
        <f>C3+C4</f>
        <v>111</v>
      </c>
      <c r="D5" s="7">
        <f>D3+D4</f>
        <v>107</v>
      </c>
      <c r="E5" s="7">
        <f>E3+E4</f>
        <v>218</v>
      </c>
      <c r="H5">
        <v>1</v>
      </c>
      <c r="I5">
        <v>2</v>
      </c>
      <c r="J5">
        <v>2</v>
      </c>
      <c r="K5">
        <v>1</v>
      </c>
      <c r="L5">
        <v>1</v>
      </c>
      <c r="N5" s="5" t="s">
        <v>88</v>
      </c>
      <c r="O5" s="5"/>
      <c r="P5" s="7">
        <f>P3+P4</f>
        <v>26</v>
      </c>
      <c r="Q5" s="7">
        <f>Q3+Q4</f>
        <v>28</v>
      </c>
      <c r="R5" s="7">
        <f>R3+R4</f>
        <v>54</v>
      </c>
    </row>
    <row r="6" spans="1:23" x14ac:dyDescent="0.3">
      <c r="H6">
        <v>2</v>
      </c>
      <c r="I6">
        <v>2</v>
      </c>
      <c r="J6">
        <v>1</v>
      </c>
      <c r="K6">
        <v>1</v>
      </c>
      <c r="L6">
        <v>1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1</v>
      </c>
      <c r="I7">
        <v>2</v>
      </c>
      <c r="J7">
        <v>2</v>
      </c>
      <c r="K7">
        <v>2</v>
      </c>
      <c r="L7">
        <v>2</v>
      </c>
      <c r="N7" s="5" t="s">
        <v>114</v>
      </c>
      <c r="O7" s="53" t="s">
        <v>90</v>
      </c>
      <c r="P7" s="53"/>
      <c r="Q7" s="53"/>
      <c r="R7" s="5"/>
      <c r="T7" s="9" t="s">
        <v>83</v>
      </c>
      <c r="U7" s="9" t="s">
        <v>84</v>
      </c>
      <c r="V7" s="9" t="s">
        <v>85</v>
      </c>
      <c r="W7" s="9" t="s">
        <v>86</v>
      </c>
    </row>
    <row r="8" spans="1:23" x14ac:dyDescent="0.3">
      <c r="A8" s="8">
        <f>C3/C5</f>
        <v>0.29729729729729731</v>
      </c>
      <c r="B8" s="8">
        <f>1-A8</f>
        <v>0.70270270270270263</v>
      </c>
      <c r="C8" s="8">
        <f>D4/E4</f>
        <v>0.27777777777777779</v>
      </c>
      <c r="D8" s="8">
        <f>1-C8</f>
        <v>0.72222222222222221</v>
      </c>
      <c r="H8">
        <v>1</v>
      </c>
      <c r="I8">
        <v>2</v>
      </c>
      <c r="J8">
        <v>1</v>
      </c>
      <c r="K8">
        <v>1</v>
      </c>
      <c r="L8">
        <v>1</v>
      </c>
      <c r="N8" s="53" t="s">
        <v>89</v>
      </c>
      <c r="O8" s="5"/>
      <c r="P8" s="5" t="s">
        <v>87</v>
      </c>
      <c r="Q8" s="5" t="s">
        <v>75</v>
      </c>
      <c r="R8" s="5" t="s">
        <v>88</v>
      </c>
      <c r="T8" s="41">
        <f>P9/(P9+Q9)</f>
        <v>0.2857142857142857</v>
      </c>
      <c r="U8" s="41">
        <f>1-T8</f>
        <v>0.7142857142857143</v>
      </c>
      <c r="V8" s="41">
        <f>Q10/(Q10+P10)</f>
        <v>0.41666666666666669</v>
      </c>
      <c r="W8" s="41">
        <f>1-V8</f>
        <v>0.58333333333333326</v>
      </c>
    </row>
    <row r="9" spans="1:23" x14ac:dyDescent="0.3">
      <c r="H9">
        <v>1</v>
      </c>
      <c r="I9">
        <v>1</v>
      </c>
      <c r="J9">
        <v>2</v>
      </c>
      <c r="K9">
        <v>2</v>
      </c>
      <c r="L9">
        <v>2</v>
      </c>
      <c r="N9" s="53"/>
      <c r="O9" s="5" t="s">
        <v>87</v>
      </c>
      <c r="P9" s="7">
        <v>6</v>
      </c>
      <c r="Q9" s="7">
        <v>15</v>
      </c>
      <c r="R9" s="7">
        <f>P9+Q9</f>
        <v>21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2</v>
      </c>
      <c r="I10">
        <v>2</v>
      </c>
      <c r="J10">
        <v>1</v>
      </c>
      <c r="K10">
        <v>1</v>
      </c>
      <c r="L10">
        <v>1</v>
      </c>
      <c r="N10" s="53"/>
      <c r="O10" s="5" t="s">
        <v>75</v>
      </c>
      <c r="P10" s="7">
        <v>14</v>
      </c>
      <c r="Q10" s="7">
        <v>10</v>
      </c>
      <c r="R10" s="7">
        <f>P10+Q10</f>
        <v>24</v>
      </c>
    </row>
    <row r="11" spans="1:23" x14ac:dyDescent="0.3">
      <c r="A11" s="43">
        <f>C3/E3</f>
        <v>0.3</v>
      </c>
      <c r="B11" s="43">
        <f>1-A11</f>
        <v>0.7</v>
      </c>
      <c r="C11" s="43">
        <f>D4/E4</f>
        <v>0.27777777777777779</v>
      </c>
      <c r="D11" s="43">
        <f>1-C11</f>
        <v>0.72222222222222221</v>
      </c>
      <c r="E11" s="59"/>
      <c r="F11" s="59"/>
      <c r="H11">
        <v>1</v>
      </c>
      <c r="I11">
        <v>1</v>
      </c>
      <c r="J11">
        <v>2</v>
      </c>
      <c r="K11">
        <v>1</v>
      </c>
      <c r="L11">
        <v>2</v>
      </c>
      <c r="N11" s="5" t="s">
        <v>88</v>
      </c>
      <c r="O11" s="5"/>
      <c r="P11" s="7">
        <f>P9+P10</f>
        <v>20</v>
      </c>
      <c r="Q11" s="7">
        <f>Q9+Q10</f>
        <v>25</v>
      </c>
      <c r="R11" s="7">
        <f>R9+R10</f>
        <v>45</v>
      </c>
    </row>
    <row r="12" spans="1:23" x14ac:dyDescent="0.3">
      <c r="E12" s="59"/>
      <c r="F12" s="59"/>
      <c r="H12">
        <v>2</v>
      </c>
      <c r="I12">
        <v>1</v>
      </c>
      <c r="J12">
        <v>2</v>
      </c>
      <c r="K12">
        <v>2</v>
      </c>
      <c r="L12">
        <v>1</v>
      </c>
    </row>
    <row r="13" spans="1:23" x14ac:dyDescent="0.3">
      <c r="H13">
        <v>2</v>
      </c>
      <c r="I13">
        <v>2</v>
      </c>
      <c r="J13">
        <v>1</v>
      </c>
      <c r="K13">
        <v>2</v>
      </c>
      <c r="L13">
        <v>2</v>
      </c>
      <c r="N13" s="5" t="s">
        <v>115</v>
      </c>
      <c r="O13" s="53" t="s">
        <v>90</v>
      </c>
      <c r="P13" s="53"/>
      <c r="Q13" s="53"/>
      <c r="R13" s="5"/>
      <c r="T13" s="9" t="s">
        <v>83</v>
      </c>
      <c r="U13" s="9" t="s">
        <v>84</v>
      </c>
      <c r="V13" s="9" t="s">
        <v>85</v>
      </c>
      <c r="W13" s="9" t="s">
        <v>86</v>
      </c>
    </row>
    <row r="14" spans="1:23" x14ac:dyDescent="0.3">
      <c r="H14">
        <v>1</v>
      </c>
      <c r="I14">
        <v>2</v>
      </c>
      <c r="J14">
        <v>1</v>
      </c>
      <c r="K14">
        <v>1</v>
      </c>
      <c r="L14">
        <v>1</v>
      </c>
      <c r="N14" s="53" t="s">
        <v>89</v>
      </c>
      <c r="O14" s="5"/>
      <c r="P14" s="5" t="s">
        <v>87</v>
      </c>
      <c r="Q14" s="5" t="s">
        <v>75</v>
      </c>
      <c r="R14" s="5" t="s">
        <v>88</v>
      </c>
      <c r="T14" s="41">
        <f>P15/(P15+Q15)</f>
        <v>0.25</v>
      </c>
      <c r="U14" s="41">
        <f>1-T14</f>
        <v>0.75</v>
      </c>
      <c r="V14" s="41">
        <f>Q16/(Q16+P16)</f>
        <v>0.20833333333333334</v>
      </c>
      <c r="W14" s="41">
        <f>1-V14</f>
        <v>0.79166666666666663</v>
      </c>
    </row>
    <row r="15" spans="1:23" x14ac:dyDescent="0.3">
      <c r="H15">
        <v>2</v>
      </c>
      <c r="I15">
        <v>1</v>
      </c>
      <c r="J15">
        <v>2</v>
      </c>
      <c r="K15">
        <v>2</v>
      </c>
      <c r="L15">
        <v>2</v>
      </c>
      <c r="N15" s="53"/>
      <c r="O15" s="5" t="s">
        <v>87</v>
      </c>
      <c r="P15" s="7">
        <v>6</v>
      </c>
      <c r="Q15" s="7">
        <v>18</v>
      </c>
      <c r="R15" s="7">
        <f>P15+Q15</f>
        <v>24</v>
      </c>
    </row>
    <row r="16" spans="1:23" x14ac:dyDescent="0.3">
      <c r="H16">
        <v>1</v>
      </c>
      <c r="I16">
        <v>1</v>
      </c>
      <c r="J16">
        <v>1</v>
      </c>
      <c r="K16">
        <v>2</v>
      </c>
      <c r="L16">
        <v>2</v>
      </c>
      <c r="N16" s="53"/>
      <c r="O16" s="5" t="s">
        <v>75</v>
      </c>
      <c r="P16" s="7">
        <v>19</v>
      </c>
      <c r="Q16" s="7">
        <v>5</v>
      </c>
      <c r="R16" s="7">
        <f>P16+Q16</f>
        <v>24</v>
      </c>
    </row>
    <row r="17" spans="1:23" x14ac:dyDescent="0.3">
      <c r="H17">
        <v>2</v>
      </c>
      <c r="I17">
        <v>2</v>
      </c>
      <c r="J17">
        <v>2</v>
      </c>
      <c r="K17">
        <v>2</v>
      </c>
      <c r="L17">
        <v>1</v>
      </c>
      <c r="N17" s="5" t="s">
        <v>88</v>
      </c>
      <c r="O17" s="5"/>
      <c r="P17" s="7">
        <f>P15+P16</f>
        <v>25</v>
      </c>
      <c r="Q17" s="7">
        <f>Q15+Q16</f>
        <v>23</v>
      </c>
      <c r="R17" s="7">
        <f>R15+R16</f>
        <v>48</v>
      </c>
    </row>
    <row r="18" spans="1:23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23" x14ac:dyDescent="0.3">
      <c r="A19" s="54"/>
      <c r="B19" s="54"/>
      <c r="C19" s="69"/>
      <c r="D19" s="54"/>
      <c r="E19" s="54"/>
      <c r="F19" s="54"/>
      <c r="H19">
        <v>2</v>
      </c>
      <c r="I19">
        <v>2</v>
      </c>
      <c r="J19">
        <v>2</v>
      </c>
      <c r="K19">
        <v>2</v>
      </c>
      <c r="L19">
        <v>2</v>
      </c>
      <c r="N19" s="5" t="s">
        <v>117</v>
      </c>
      <c r="O19" s="53" t="s">
        <v>90</v>
      </c>
      <c r="P19" s="53"/>
      <c r="Q19" s="53"/>
      <c r="R19" s="5"/>
      <c r="T19" s="9" t="s">
        <v>83</v>
      </c>
      <c r="U19" s="9" t="s">
        <v>84</v>
      </c>
      <c r="V19" s="9" t="s">
        <v>85</v>
      </c>
      <c r="W19" s="9" t="s">
        <v>86</v>
      </c>
    </row>
    <row r="20" spans="1:23" x14ac:dyDescent="0.3">
      <c r="A20" s="54"/>
      <c r="B20" s="54"/>
      <c r="C20" s="69"/>
      <c r="D20" s="54"/>
      <c r="E20" s="54"/>
      <c r="F20" s="54"/>
      <c r="H20">
        <v>1</v>
      </c>
      <c r="I20">
        <v>1</v>
      </c>
      <c r="J20">
        <v>1</v>
      </c>
      <c r="K20">
        <v>1</v>
      </c>
      <c r="L20">
        <v>1</v>
      </c>
      <c r="N20" s="53" t="s">
        <v>89</v>
      </c>
      <c r="O20" s="5"/>
      <c r="P20" s="5" t="s">
        <v>87</v>
      </c>
      <c r="Q20" s="5" t="s">
        <v>75</v>
      </c>
      <c r="R20" s="5" t="s">
        <v>88</v>
      </c>
      <c r="T20" s="41">
        <f>P21/(P21+Q21)</f>
        <v>0.28000000000000003</v>
      </c>
      <c r="U20" s="41">
        <f>1-T20</f>
        <v>0.72</v>
      </c>
      <c r="V20" s="40">
        <f>Q22/(Q22+P22)</f>
        <v>0.18181818181818182</v>
      </c>
      <c r="W20" s="40">
        <f>1-V20</f>
        <v>0.81818181818181812</v>
      </c>
    </row>
    <row r="21" spans="1:23" x14ac:dyDescent="0.3">
      <c r="A21" s="54"/>
      <c r="B21" s="54"/>
      <c r="C21" s="70"/>
      <c r="D21" s="54"/>
      <c r="E21" s="54"/>
      <c r="F21" s="54"/>
      <c r="H21">
        <v>2</v>
      </c>
      <c r="I21">
        <v>2</v>
      </c>
      <c r="J21">
        <v>2</v>
      </c>
      <c r="K21">
        <v>2</v>
      </c>
      <c r="L21">
        <v>2</v>
      </c>
      <c r="N21" s="53"/>
      <c r="O21" s="5" t="s">
        <v>87</v>
      </c>
      <c r="P21" s="7">
        <v>7</v>
      </c>
      <c r="Q21" s="7">
        <v>18</v>
      </c>
      <c r="R21" s="7">
        <f>P21+Q21</f>
        <v>25</v>
      </c>
    </row>
    <row r="22" spans="1:23" x14ac:dyDescent="0.3">
      <c r="A22" s="37">
        <v>1</v>
      </c>
      <c r="B22" s="37">
        <v>116</v>
      </c>
      <c r="C22" s="40">
        <f>($C$4*$D$11*$A$11^0)+($D$3*$B$11*$C$11^0)</f>
        <v>110.23333333333333</v>
      </c>
      <c r="D22" s="37">
        <v>115.238</v>
      </c>
      <c r="E22" s="5" t="s">
        <v>125</v>
      </c>
      <c r="F22" s="5" t="s">
        <v>125</v>
      </c>
      <c r="H22">
        <v>1</v>
      </c>
      <c r="I22">
        <v>2</v>
      </c>
      <c r="J22">
        <v>1</v>
      </c>
      <c r="K22">
        <v>1</v>
      </c>
      <c r="L22">
        <v>1</v>
      </c>
      <c r="N22" s="53"/>
      <c r="O22" s="5" t="s">
        <v>75</v>
      </c>
      <c r="P22" s="7">
        <v>18</v>
      </c>
      <c r="Q22" s="7">
        <v>4</v>
      </c>
      <c r="R22" s="7">
        <f>P22+Q22</f>
        <v>22</v>
      </c>
    </row>
    <row r="23" spans="1:23" x14ac:dyDescent="0.3">
      <c r="A23" s="37">
        <v>2</v>
      </c>
      <c r="B23" s="37">
        <v>30</v>
      </c>
      <c r="C23" s="40">
        <f>($C$4*$D$11*$A$11^1)+($D$3*$B$11*$C$11^1)</f>
        <v>31.87222222222222</v>
      </c>
      <c r="D23" s="37">
        <v>30.866</v>
      </c>
      <c r="E23" s="5" t="s">
        <v>125</v>
      </c>
      <c r="F23" s="5" t="s">
        <v>125</v>
      </c>
      <c r="H23">
        <v>1</v>
      </c>
      <c r="I23">
        <v>2</v>
      </c>
      <c r="J23">
        <v>2</v>
      </c>
      <c r="K23">
        <v>1</v>
      </c>
      <c r="L23">
        <v>1</v>
      </c>
      <c r="N23" s="5" t="s">
        <v>88</v>
      </c>
      <c r="O23" s="5"/>
      <c r="P23" s="7">
        <f>P21+P22</f>
        <v>25</v>
      </c>
      <c r="Q23" s="7">
        <f>Q21+Q22</f>
        <v>22</v>
      </c>
      <c r="R23" s="7">
        <f>R21+R22</f>
        <v>47</v>
      </c>
    </row>
    <row r="24" spans="1:23" x14ac:dyDescent="0.3">
      <c r="A24" s="37">
        <v>3</v>
      </c>
      <c r="B24" s="37">
        <v>8</v>
      </c>
      <c r="C24" s="40">
        <f>($C$4*$D$11*$A$11^2)+($D$3*$B$11*$C$11^2)</f>
        <v>9.2289506172839513</v>
      </c>
      <c r="D24" s="37">
        <v>8.5030000000000001</v>
      </c>
      <c r="E24" s="37">
        <v>5</v>
      </c>
      <c r="F24" s="5">
        <v>3</v>
      </c>
      <c r="H24">
        <v>1</v>
      </c>
      <c r="I24">
        <v>2</v>
      </c>
      <c r="J24">
        <v>1</v>
      </c>
      <c r="K24">
        <v>2</v>
      </c>
      <c r="L24">
        <v>1</v>
      </c>
    </row>
    <row r="25" spans="1:23" x14ac:dyDescent="0.3">
      <c r="A25" s="37">
        <v>4</v>
      </c>
      <c r="B25" s="37">
        <v>3</v>
      </c>
      <c r="C25" s="40">
        <f>($C$4*$D$11*$A$11^3)+($D$3*$B$11*$C$11^3)</f>
        <v>2.6762640603566532</v>
      </c>
      <c r="D25" s="37">
        <v>2.5019999999999998</v>
      </c>
      <c r="E25" s="5">
        <v>2</v>
      </c>
      <c r="F25" s="5">
        <v>1</v>
      </c>
      <c r="H25">
        <v>1</v>
      </c>
      <c r="I25">
        <v>2</v>
      </c>
      <c r="J25">
        <v>2</v>
      </c>
      <c r="K25">
        <v>2</v>
      </c>
      <c r="L25">
        <v>1</v>
      </c>
      <c r="N25" s="5" t="s">
        <v>118</v>
      </c>
      <c r="O25" s="53" t="s">
        <v>90</v>
      </c>
      <c r="P25" s="53"/>
      <c r="Q25" s="53"/>
      <c r="R25" s="5"/>
      <c r="T25" s="9" t="s">
        <v>83</v>
      </c>
      <c r="U25" s="9" t="s">
        <v>84</v>
      </c>
      <c r="V25" s="9" t="s">
        <v>85</v>
      </c>
      <c r="W25" s="9" t="s">
        <v>86</v>
      </c>
    </row>
    <row r="26" spans="1:23" x14ac:dyDescent="0.3">
      <c r="A26" s="37">
        <v>5</v>
      </c>
      <c r="B26" s="37">
        <v>0</v>
      </c>
      <c r="C26" s="40">
        <f>($C$4*$D$11*$A$11^4)+($D$3*$B$11*$C$11^4)</f>
        <v>0.77720668343240362</v>
      </c>
      <c r="D26" s="37">
        <v>0.73599999999999999</v>
      </c>
      <c r="E26" s="5">
        <v>0</v>
      </c>
      <c r="F26" s="5">
        <v>0</v>
      </c>
      <c r="H26">
        <v>2</v>
      </c>
      <c r="I26">
        <v>2</v>
      </c>
      <c r="J26">
        <v>1</v>
      </c>
      <c r="K26">
        <v>1</v>
      </c>
      <c r="N26" s="53" t="s">
        <v>89</v>
      </c>
      <c r="O26" s="5"/>
      <c r="P26" s="5" t="s">
        <v>87</v>
      </c>
      <c r="Q26" s="5" t="s">
        <v>75</v>
      </c>
      <c r="R26" s="5" t="s">
        <v>88</v>
      </c>
      <c r="T26" s="41">
        <f>P27/(P27+Q27)</f>
        <v>0.42857142857142855</v>
      </c>
      <c r="U26" s="41">
        <f>1-T26</f>
        <v>0.5714285714285714</v>
      </c>
      <c r="V26" s="40">
        <f>Q28/(Q28+P28)</f>
        <v>0.1</v>
      </c>
      <c r="W26" s="40">
        <f>1-V26</f>
        <v>0.9</v>
      </c>
    </row>
    <row r="27" spans="1:23" x14ac:dyDescent="0.3">
      <c r="A27" s="37">
        <v>6</v>
      </c>
      <c r="B27" s="37">
        <v>1</v>
      </c>
      <c r="C27" s="40">
        <f>($C$4*$D$11*$A$11^5)+($D$3*$B$11*$C$11^5)</f>
        <v>0.22603074539788992</v>
      </c>
      <c r="D27" s="37">
        <v>0.20799999999999999</v>
      </c>
      <c r="E27" s="5">
        <v>0</v>
      </c>
      <c r="F27" s="5">
        <v>1</v>
      </c>
      <c r="H27">
        <v>1</v>
      </c>
      <c r="I27">
        <v>1</v>
      </c>
      <c r="J27">
        <v>1</v>
      </c>
      <c r="K27">
        <v>2</v>
      </c>
      <c r="N27" s="53"/>
      <c r="O27" s="5" t="s">
        <v>87</v>
      </c>
      <c r="P27" s="7">
        <v>6</v>
      </c>
      <c r="Q27" s="7">
        <v>8</v>
      </c>
      <c r="R27" s="7">
        <f>P27+Q27</f>
        <v>14</v>
      </c>
    </row>
    <row r="28" spans="1:23" x14ac:dyDescent="0.3">
      <c r="A28" s="37">
        <v>7</v>
      </c>
      <c r="B28" s="37">
        <v>0</v>
      </c>
      <c r="C28" s="40">
        <f>($C$4*$D$11*$A$11^6)+($D$3*$B$11*$C$11^6)</f>
        <v>6.5828318166080535E-2</v>
      </c>
      <c r="D28" s="37">
        <v>6.0999999999999999E-2</v>
      </c>
      <c r="E28" s="5">
        <v>0</v>
      </c>
      <c r="F28" s="5">
        <v>0</v>
      </c>
      <c r="H28">
        <v>2</v>
      </c>
      <c r="I28">
        <v>2</v>
      </c>
      <c r="J28">
        <v>2</v>
      </c>
      <c r="K28">
        <v>1</v>
      </c>
      <c r="N28" s="53"/>
      <c r="O28" s="5" t="s">
        <v>75</v>
      </c>
      <c r="P28" s="7">
        <v>9</v>
      </c>
      <c r="Q28" s="7">
        <v>1</v>
      </c>
      <c r="R28" s="7">
        <f>P28+Q28</f>
        <v>10</v>
      </c>
    </row>
    <row r="29" spans="1:23" x14ac:dyDescent="0.3">
      <c r="A29" s="37">
        <v>8</v>
      </c>
      <c r="B29" s="37">
        <v>0</v>
      </c>
      <c r="C29" s="40">
        <f>($C$4*$D$11*$A$11^7)+($D$3*$B$11*$C$11^7)</f>
        <v>1.9198243935022369E-2</v>
      </c>
      <c r="D29" s="37">
        <v>1.4E-2</v>
      </c>
      <c r="E29" s="5">
        <v>0</v>
      </c>
      <c r="F29" s="5">
        <v>0</v>
      </c>
      <c r="H29">
        <v>1</v>
      </c>
      <c r="I29">
        <v>1</v>
      </c>
      <c r="J29">
        <v>1</v>
      </c>
      <c r="K29">
        <v>2</v>
      </c>
      <c r="N29" s="5" t="s">
        <v>88</v>
      </c>
      <c r="O29" s="5"/>
      <c r="P29" s="7">
        <f>P27+P28</f>
        <v>15</v>
      </c>
      <c r="Q29" s="7">
        <f>Q27+Q28</f>
        <v>9</v>
      </c>
      <c r="R29" s="7">
        <f>R27+R28</f>
        <v>24</v>
      </c>
    </row>
    <row r="30" spans="1:23" x14ac:dyDescent="0.3">
      <c r="A30" s="37" t="s">
        <v>103</v>
      </c>
      <c r="B30" s="37">
        <v>0</v>
      </c>
      <c r="C30" s="40">
        <f>($C$4*$D$11*$A$11^8)+($D$3*$B$11*$C$11^8)</f>
        <v>5.6066255375062136E-3</v>
      </c>
      <c r="D30" s="37">
        <v>5.0000000000000001E-3</v>
      </c>
      <c r="E30" s="5">
        <v>0</v>
      </c>
      <c r="F30" s="5">
        <v>0</v>
      </c>
      <c r="H30">
        <v>1</v>
      </c>
      <c r="I30">
        <v>1</v>
      </c>
      <c r="J30">
        <v>2</v>
      </c>
      <c r="K30">
        <v>1</v>
      </c>
    </row>
    <row r="31" spans="1:23" x14ac:dyDescent="0.3">
      <c r="H31">
        <v>2</v>
      </c>
      <c r="I31">
        <v>1</v>
      </c>
      <c r="J31">
        <v>2</v>
      </c>
      <c r="K31">
        <v>1</v>
      </c>
    </row>
    <row r="32" spans="1:23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1</v>
      </c>
      <c r="I32">
        <v>2</v>
      </c>
      <c r="J32">
        <v>1</v>
      </c>
      <c r="K32">
        <v>2</v>
      </c>
    </row>
    <row r="33" spans="1:11" x14ac:dyDescent="0.3">
      <c r="A33" s="53"/>
      <c r="B33" s="54"/>
      <c r="C33" s="54"/>
      <c r="D33" s="54"/>
      <c r="E33" s="54"/>
      <c r="F33" s="53"/>
      <c r="G33" s="53"/>
      <c r="H33">
        <v>2</v>
      </c>
      <c r="I33">
        <v>1</v>
      </c>
      <c r="J33">
        <v>1</v>
      </c>
      <c r="K33">
        <v>1</v>
      </c>
    </row>
    <row r="34" spans="1:11" x14ac:dyDescent="0.3">
      <c r="A34" s="5" t="s">
        <v>87</v>
      </c>
      <c r="B34" s="64">
        <f>E24+E25+E26+E27+E28+E29+E30</f>
        <v>7</v>
      </c>
      <c r="C34" s="65"/>
      <c r="D34" s="66">
        <f>E24*1+E25*2+E26*3+E27*4+E28*5+E29*6+E30*7</f>
        <v>9</v>
      </c>
      <c r="E34" s="67"/>
      <c r="F34" s="48">
        <f>B34/D34</f>
        <v>0.77777777777777779</v>
      </c>
      <c r="G34" s="49">
        <f>F34</f>
        <v>0.77777777777777779</v>
      </c>
      <c r="H34">
        <v>1</v>
      </c>
      <c r="I34">
        <v>2</v>
      </c>
      <c r="J34">
        <v>2</v>
      </c>
      <c r="K34">
        <v>1</v>
      </c>
    </row>
    <row r="35" spans="1:11" x14ac:dyDescent="0.3">
      <c r="A35" s="5" t="s">
        <v>75</v>
      </c>
      <c r="B35" s="64">
        <f>F24+F25+F26+F27+F28+F29+F30</f>
        <v>5</v>
      </c>
      <c r="C35" s="65"/>
      <c r="D35" s="66">
        <f>F24*1+F25*2+F26*3+F27*4+F28*5+F29*6+F30*7</f>
        <v>9</v>
      </c>
      <c r="E35" s="67"/>
      <c r="F35" s="48">
        <f>B35/D35</f>
        <v>0.55555555555555558</v>
      </c>
      <c r="G35" s="49">
        <f>F35</f>
        <v>0.55555555555555558</v>
      </c>
      <c r="H35">
        <v>2</v>
      </c>
      <c r="I35">
        <v>1</v>
      </c>
      <c r="J35">
        <v>1</v>
      </c>
      <c r="K35">
        <v>2</v>
      </c>
    </row>
    <row r="36" spans="1:11" x14ac:dyDescent="0.3">
      <c r="H36">
        <v>1</v>
      </c>
      <c r="I36">
        <v>2</v>
      </c>
      <c r="J36">
        <v>2</v>
      </c>
      <c r="K36">
        <v>1</v>
      </c>
    </row>
    <row r="37" spans="1:11" x14ac:dyDescent="0.3">
      <c r="H37">
        <v>2</v>
      </c>
      <c r="I37">
        <v>1</v>
      </c>
      <c r="J37">
        <v>1</v>
      </c>
      <c r="K37">
        <v>1</v>
      </c>
    </row>
    <row r="38" spans="1:11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1</v>
      </c>
      <c r="I38">
        <v>2</v>
      </c>
      <c r="J38">
        <v>1</v>
      </c>
      <c r="K38">
        <v>1</v>
      </c>
    </row>
    <row r="39" spans="1:11" x14ac:dyDescent="0.3">
      <c r="A39" s="80" t="s">
        <v>87</v>
      </c>
      <c r="B39" s="83">
        <v>7</v>
      </c>
      <c r="C39" s="83"/>
      <c r="D39" s="92">
        <v>33</v>
      </c>
      <c r="E39" s="92"/>
      <c r="F39" s="82">
        <f>SUM(B39+D39)</f>
        <v>40</v>
      </c>
      <c r="H39">
        <v>2</v>
      </c>
      <c r="I39">
        <v>1</v>
      </c>
      <c r="J39">
        <v>2</v>
      </c>
      <c r="K39">
        <v>2</v>
      </c>
    </row>
    <row r="40" spans="1:11" x14ac:dyDescent="0.3">
      <c r="A40" s="80" t="s">
        <v>75</v>
      </c>
      <c r="B40" s="83">
        <v>5</v>
      </c>
      <c r="C40" s="83"/>
      <c r="D40" s="92">
        <v>30</v>
      </c>
      <c r="E40" s="92"/>
      <c r="F40" s="82">
        <f>SUM(B40+D40)</f>
        <v>35</v>
      </c>
      <c r="H40">
        <v>2</v>
      </c>
      <c r="I40">
        <v>1</v>
      </c>
      <c r="J40">
        <v>2</v>
      </c>
      <c r="K40">
        <v>1</v>
      </c>
    </row>
    <row r="41" spans="1:11" x14ac:dyDescent="0.3">
      <c r="A41" s="85"/>
      <c r="B41" s="86">
        <f>SUM(B39:B40)</f>
        <v>12</v>
      </c>
      <c r="C41" s="86"/>
      <c r="D41" s="87">
        <f>SUM(D39:D40)</f>
        <v>63</v>
      </c>
      <c r="E41" s="87"/>
      <c r="F41" s="82">
        <f>SUM(F39:F40)</f>
        <v>75</v>
      </c>
      <c r="H41">
        <v>1</v>
      </c>
      <c r="I41">
        <v>2</v>
      </c>
      <c r="J41">
        <v>1</v>
      </c>
      <c r="K41">
        <v>2</v>
      </c>
    </row>
    <row r="42" spans="1:11" x14ac:dyDescent="0.3">
      <c r="A42" s="40"/>
      <c r="B42" s="84" t="s">
        <v>134</v>
      </c>
      <c r="C42" s="84"/>
      <c r="D42" s="84" t="s">
        <v>132</v>
      </c>
      <c r="E42" s="84"/>
      <c r="F42" s="73"/>
      <c r="H42">
        <v>2</v>
      </c>
      <c r="I42">
        <v>1</v>
      </c>
      <c r="J42">
        <v>1</v>
      </c>
      <c r="K42">
        <v>1</v>
      </c>
    </row>
    <row r="43" spans="1:11" x14ac:dyDescent="0.3">
      <c r="A43" s="82" t="s">
        <v>87</v>
      </c>
      <c r="B43" s="81">
        <f>B41*F39/F41</f>
        <v>6.4</v>
      </c>
      <c r="C43" s="81"/>
      <c r="D43" s="81">
        <f>D41*F39/F41</f>
        <v>33.6</v>
      </c>
      <c r="E43" s="81"/>
      <c r="F43" s="73"/>
      <c r="H43">
        <v>2</v>
      </c>
      <c r="I43">
        <v>2</v>
      </c>
      <c r="J43">
        <v>1</v>
      </c>
      <c r="K43">
        <v>2</v>
      </c>
    </row>
    <row r="44" spans="1:11" x14ac:dyDescent="0.3">
      <c r="A44" s="82" t="s">
        <v>75</v>
      </c>
      <c r="B44" s="81">
        <f>B41*F40/F41</f>
        <v>5.6</v>
      </c>
      <c r="C44" s="81"/>
      <c r="D44" s="81">
        <f>D41*F40/F41</f>
        <v>29.4</v>
      </c>
      <c r="E44" s="81"/>
      <c r="F44" s="73"/>
      <c r="H44">
        <v>2</v>
      </c>
      <c r="I44">
        <v>1</v>
      </c>
      <c r="J44">
        <v>2</v>
      </c>
      <c r="K44">
        <v>1</v>
      </c>
    </row>
    <row r="45" spans="1:11" x14ac:dyDescent="0.3">
      <c r="A45" s="88"/>
      <c r="B45" s="88"/>
      <c r="C45" s="88"/>
      <c r="D45" s="88"/>
      <c r="E45" s="88"/>
      <c r="F45" s="73"/>
      <c r="H45">
        <v>1</v>
      </c>
      <c r="I45">
        <v>2</v>
      </c>
      <c r="J45">
        <v>1</v>
      </c>
      <c r="K45">
        <v>2</v>
      </c>
    </row>
    <row r="46" spans="1:11" x14ac:dyDescent="0.3">
      <c r="A46" s="88" t="s">
        <v>135</v>
      </c>
      <c r="B46" s="89">
        <f>CHITEST(B39:E40,B43:E44)</f>
        <v>0.98614984626036972</v>
      </c>
      <c r="C46" s="88"/>
      <c r="D46" s="88"/>
      <c r="E46" s="88"/>
      <c r="F46" s="73"/>
      <c r="H46">
        <v>1</v>
      </c>
      <c r="I46">
        <v>2</v>
      </c>
      <c r="J46">
        <v>2</v>
      </c>
      <c r="K46">
        <v>1</v>
      </c>
    </row>
    <row r="47" spans="1:11" x14ac:dyDescent="0.3">
      <c r="H47">
        <v>2</v>
      </c>
      <c r="J47">
        <v>1</v>
      </c>
      <c r="K47">
        <v>2</v>
      </c>
    </row>
    <row r="48" spans="1:11" x14ac:dyDescent="0.3">
      <c r="H48">
        <v>2</v>
      </c>
      <c r="J48">
        <v>2</v>
      </c>
      <c r="K48">
        <v>1</v>
      </c>
    </row>
    <row r="49" spans="8:10" x14ac:dyDescent="0.3">
      <c r="H49">
        <v>1</v>
      </c>
      <c r="J49">
        <v>1</v>
      </c>
    </row>
    <row r="50" spans="8:10" x14ac:dyDescent="0.3">
      <c r="H50">
        <v>1</v>
      </c>
    </row>
    <row r="51" spans="8:10" x14ac:dyDescent="0.3">
      <c r="H51">
        <v>2</v>
      </c>
    </row>
    <row r="52" spans="8:10" x14ac:dyDescent="0.3">
      <c r="H52">
        <v>2</v>
      </c>
    </row>
    <row r="53" spans="8:10" x14ac:dyDescent="0.3">
      <c r="H53">
        <v>1</v>
      </c>
    </row>
    <row r="54" spans="8:10" x14ac:dyDescent="0.3">
      <c r="H54">
        <v>2</v>
      </c>
    </row>
    <row r="55" spans="8:10" x14ac:dyDescent="0.3">
      <c r="H55">
        <v>2</v>
      </c>
    </row>
  </sheetData>
  <mergeCells count="42">
    <mergeCell ref="B44:C44"/>
    <mergeCell ref="D44:E44"/>
    <mergeCell ref="B41:C41"/>
    <mergeCell ref="D41:E41"/>
    <mergeCell ref="B42:C42"/>
    <mergeCell ref="D42:E42"/>
    <mergeCell ref="B43:C43"/>
    <mergeCell ref="D43:E43"/>
    <mergeCell ref="B38:C38"/>
    <mergeCell ref="D38:E38"/>
    <mergeCell ref="B39:C39"/>
    <mergeCell ref="D39:E39"/>
    <mergeCell ref="B40:C40"/>
    <mergeCell ref="D40:E40"/>
    <mergeCell ref="B34:C34"/>
    <mergeCell ref="D34:E34"/>
    <mergeCell ref="B35:C35"/>
    <mergeCell ref="D35:E35"/>
    <mergeCell ref="A32:A33"/>
    <mergeCell ref="B32:C33"/>
    <mergeCell ref="D32:E33"/>
    <mergeCell ref="F32:F33"/>
    <mergeCell ref="G32:G33"/>
    <mergeCell ref="N14:N16"/>
    <mergeCell ref="O19:Q19"/>
    <mergeCell ref="N20:N22"/>
    <mergeCell ref="O25:Q25"/>
    <mergeCell ref="N26:N28"/>
    <mergeCell ref="O1:Q1"/>
    <mergeCell ref="N2:N4"/>
    <mergeCell ref="O7:Q7"/>
    <mergeCell ref="N8:N10"/>
    <mergeCell ref="O13:Q13"/>
    <mergeCell ref="B1:D1"/>
    <mergeCell ref="A2:A4"/>
    <mergeCell ref="E10:F12"/>
    <mergeCell ref="A18:A21"/>
    <mergeCell ref="B18:B21"/>
    <mergeCell ref="C18:C21"/>
    <mergeCell ref="D18:D21"/>
    <mergeCell ref="E18:E21"/>
    <mergeCell ref="F18:F21"/>
  </mergeCells>
  <conditionalFormatting sqref="H1:L55">
    <cfRule type="cellIs" dxfId="111" priority="5" operator="equal">
      <formula>1</formula>
    </cfRule>
    <cfRule type="cellIs" dxfId="110" priority="6" operator="equal">
      <formula>2</formula>
    </cfRule>
  </conditionalFormatting>
  <conditionalFormatting sqref="A43:B44 A45:E46 D42:D44 B42">
    <cfRule type="cellIs" dxfId="15" priority="1" operator="equal">
      <formula>1</formula>
    </cfRule>
    <cfRule type="cellIs" dxfId="14" priority="2" operator="equal">
      <formula>2</formula>
    </cfRule>
    <cfRule type="cellIs" dxfId="13" priority="3" operator="equal">
      <formula>1</formula>
    </cfRule>
    <cfRule type="cellIs" dxfId="12" priority="4" operator="equal">
      <formula>2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AB7D5-5C48-4BC2-B8BB-87A45DC431BF}">
  <dimension ref="A1:W49"/>
  <sheetViews>
    <sheetView topLeftCell="A25" workbookViewId="0">
      <selection activeCell="D41" sqref="D41:E41"/>
    </sheetView>
  </sheetViews>
  <sheetFormatPr defaultRowHeight="14.4" x14ac:dyDescent="0.3"/>
  <cols>
    <col min="3" max="3" width="9.77734375" customWidth="1"/>
  </cols>
  <sheetData>
    <row r="1" spans="1:23" x14ac:dyDescent="0.3">
      <c r="A1" s="5"/>
      <c r="B1" s="53" t="s">
        <v>90</v>
      </c>
      <c r="C1" s="53"/>
      <c r="D1" s="53"/>
      <c r="E1" s="5"/>
      <c r="H1">
        <v>1</v>
      </c>
      <c r="I1">
        <v>2</v>
      </c>
      <c r="J1">
        <v>1</v>
      </c>
      <c r="K1">
        <v>2</v>
      </c>
      <c r="L1">
        <v>1</v>
      </c>
      <c r="N1" s="5" t="s">
        <v>113</v>
      </c>
      <c r="O1" s="53" t="s">
        <v>90</v>
      </c>
      <c r="P1" s="53"/>
      <c r="Q1" s="53"/>
      <c r="R1" s="5"/>
      <c r="T1" s="9" t="s">
        <v>83</v>
      </c>
      <c r="U1" s="9" t="s">
        <v>84</v>
      </c>
      <c r="V1" s="9" t="s">
        <v>85</v>
      </c>
      <c r="W1" s="9" t="s">
        <v>86</v>
      </c>
    </row>
    <row r="2" spans="1:23" x14ac:dyDescent="0.3">
      <c r="A2" s="53" t="s">
        <v>89</v>
      </c>
      <c r="B2" s="5"/>
      <c r="C2" s="5" t="s">
        <v>87</v>
      </c>
      <c r="D2" s="5" t="s">
        <v>56</v>
      </c>
      <c r="E2" s="5" t="s">
        <v>88</v>
      </c>
      <c r="H2">
        <v>2</v>
      </c>
      <c r="I2">
        <v>2</v>
      </c>
      <c r="J2">
        <v>1</v>
      </c>
      <c r="K2">
        <v>1</v>
      </c>
      <c r="L2">
        <v>1</v>
      </c>
      <c r="N2" s="53" t="s">
        <v>89</v>
      </c>
      <c r="O2" s="5"/>
      <c r="P2" s="5" t="s">
        <v>87</v>
      </c>
      <c r="Q2" s="5" t="s">
        <v>56</v>
      </c>
      <c r="R2" s="5" t="s">
        <v>88</v>
      </c>
      <c r="T2" s="41">
        <f>P3/(P3+Q3)</f>
        <v>0.36363636363636365</v>
      </c>
      <c r="U2" s="41">
        <f>1-T2</f>
        <v>0.63636363636363635</v>
      </c>
      <c r="V2" s="41">
        <f>Q4/(Q4+P4)</f>
        <v>0.45833333333333331</v>
      </c>
      <c r="W2" s="41">
        <f>1-V2</f>
        <v>0.54166666666666674</v>
      </c>
    </row>
    <row r="3" spans="1:23" x14ac:dyDescent="0.3">
      <c r="A3" s="53"/>
      <c r="B3" s="5" t="s">
        <v>87</v>
      </c>
      <c r="C3" s="7">
        <v>38</v>
      </c>
      <c r="D3" s="7">
        <v>68</v>
      </c>
      <c r="E3" s="7">
        <f>C3+D3</f>
        <v>106</v>
      </c>
      <c r="H3">
        <v>1</v>
      </c>
      <c r="I3">
        <v>1</v>
      </c>
      <c r="J3">
        <v>1</v>
      </c>
      <c r="K3">
        <v>2</v>
      </c>
      <c r="L3">
        <v>1</v>
      </c>
      <c r="N3" s="53"/>
      <c r="O3" s="5" t="s">
        <v>87</v>
      </c>
      <c r="P3" s="7">
        <v>8</v>
      </c>
      <c r="Q3" s="7">
        <v>14</v>
      </c>
      <c r="R3" s="7">
        <f>P3+Q3</f>
        <v>22</v>
      </c>
      <c r="T3" t="s">
        <v>116</v>
      </c>
    </row>
    <row r="4" spans="1:23" x14ac:dyDescent="0.3">
      <c r="A4" s="53"/>
      <c r="B4" s="5" t="s">
        <v>56</v>
      </c>
      <c r="C4" s="7">
        <v>67</v>
      </c>
      <c r="D4" s="7">
        <v>33</v>
      </c>
      <c r="E4" s="7">
        <f>C4+D4</f>
        <v>100</v>
      </c>
      <c r="H4">
        <v>2</v>
      </c>
      <c r="I4">
        <v>1</v>
      </c>
      <c r="J4">
        <v>2</v>
      </c>
      <c r="K4">
        <v>1</v>
      </c>
      <c r="L4">
        <v>2</v>
      </c>
      <c r="N4" s="53"/>
      <c r="O4" s="5" t="s">
        <v>56</v>
      </c>
      <c r="P4" s="7">
        <v>13</v>
      </c>
      <c r="Q4" s="7">
        <v>11</v>
      </c>
      <c r="R4" s="7">
        <f>P4+Q4</f>
        <v>24</v>
      </c>
    </row>
    <row r="5" spans="1:23" x14ac:dyDescent="0.3">
      <c r="A5" s="5" t="s">
        <v>88</v>
      </c>
      <c r="B5" s="5"/>
      <c r="C5" s="7">
        <f>C3+C4</f>
        <v>105</v>
      </c>
      <c r="D5" s="7">
        <f>D3+D4</f>
        <v>101</v>
      </c>
      <c r="E5" s="7">
        <f>E3+E4</f>
        <v>206</v>
      </c>
      <c r="H5">
        <v>2</v>
      </c>
      <c r="I5">
        <v>2</v>
      </c>
      <c r="J5">
        <v>2</v>
      </c>
      <c r="K5">
        <v>1</v>
      </c>
      <c r="L5">
        <v>1</v>
      </c>
      <c r="N5" s="5" t="s">
        <v>88</v>
      </c>
      <c r="O5" s="5"/>
      <c r="P5" s="7">
        <f>P3+P4</f>
        <v>21</v>
      </c>
      <c r="Q5" s="7">
        <f>Q3+Q4</f>
        <v>25</v>
      </c>
      <c r="R5" s="7">
        <f>R3+R4</f>
        <v>46</v>
      </c>
    </row>
    <row r="6" spans="1:23" x14ac:dyDescent="0.3">
      <c r="H6">
        <v>2</v>
      </c>
      <c r="I6">
        <v>1</v>
      </c>
      <c r="J6">
        <v>2</v>
      </c>
      <c r="K6">
        <v>2</v>
      </c>
      <c r="L6">
        <v>2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1</v>
      </c>
      <c r="I7">
        <v>2</v>
      </c>
      <c r="J7">
        <v>2</v>
      </c>
      <c r="K7">
        <v>1</v>
      </c>
      <c r="L7">
        <v>1</v>
      </c>
      <c r="N7" s="5" t="s">
        <v>114</v>
      </c>
      <c r="O7" s="53" t="s">
        <v>90</v>
      </c>
      <c r="P7" s="53"/>
      <c r="Q7" s="53"/>
      <c r="R7" s="5"/>
      <c r="T7" s="9" t="s">
        <v>83</v>
      </c>
      <c r="U7" s="9" t="s">
        <v>84</v>
      </c>
      <c r="V7" s="9" t="s">
        <v>85</v>
      </c>
      <c r="W7" s="9" t="s">
        <v>86</v>
      </c>
    </row>
    <row r="8" spans="1:23" x14ac:dyDescent="0.3">
      <c r="A8" s="8">
        <f>C3/C5</f>
        <v>0.3619047619047619</v>
      </c>
      <c r="B8" s="8">
        <f>1-A8</f>
        <v>0.63809523809523805</v>
      </c>
      <c r="C8" s="8">
        <f>D4/E4</f>
        <v>0.33</v>
      </c>
      <c r="D8" s="8">
        <f>1-C8</f>
        <v>0.66999999999999993</v>
      </c>
      <c r="H8">
        <v>2</v>
      </c>
      <c r="I8">
        <v>2</v>
      </c>
      <c r="J8">
        <v>1</v>
      </c>
      <c r="K8">
        <v>1</v>
      </c>
      <c r="L8">
        <v>2</v>
      </c>
      <c r="N8" s="53" t="s">
        <v>89</v>
      </c>
      <c r="O8" s="5"/>
      <c r="P8" s="5" t="s">
        <v>87</v>
      </c>
      <c r="Q8" s="5" t="s">
        <v>56</v>
      </c>
      <c r="R8" s="5" t="s">
        <v>88</v>
      </c>
      <c r="T8" s="41">
        <f>P9/(P9+Q9)</f>
        <v>0.21739130434782608</v>
      </c>
      <c r="U8" s="41">
        <f>1-T8</f>
        <v>0.78260869565217395</v>
      </c>
      <c r="V8" s="41">
        <f>Q10/(Q10+P10)</f>
        <v>0.28000000000000003</v>
      </c>
      <c r="W8" s="41">
        <f>1-V8</f>
        <v>0.72</v>
      </c>
    </row>
    <row r="9" spans="1:23" x14ac:dyDescent="0.3">
      <c r="H9">
        <v>2</v>
      </c>
      <c r="I9">
        <v>2</v>
      </c>
      <c r="J9">
        <v>2</v>
      </c>
      <c r="K9">
        <v>1</v>
      </c>
      <c r="L9">
        <v>2</v>
      </c>
      <c r="N9" s="53"/>
      <c r="O9" s="5" t="s">
        <v>87</v>
      </c>
      <c r="P9" s="7">
        <v>5</v>
      </c>
      <c r="Q9" s="7">
        <v>18</v>
      </c>
      <c r="R9" s="7">
        <f>P9+Q9</f>
        <v>23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1</v>
      </c>
      <c r="I10">
        <v>1</v>
      </c>
      <c r="J10">
        <v>1</v>
      </c>
      <c r="K10">
        <v>1</v>
      </c>
      <c r="L10">
        <v>2</v>
      </c>
      <c r="N10" s="53"/>
      <c r="O10" s="5" t="s">
        <v>56</v>
      </c>
      <c r="P10" s="7">
        <v>18</v>
      </c>
      <c r="Q10" s="7">
        <v>7</v>
      </c>
      <c r="R10" s="7">
        <f>P10+Q10</f>
        <v>25</v>
      </c>
    </row>
    <row r="11" spans="1:23" x14ac:dyDescent="0.3">
      <c r="A11" s="43">
        <f>C3/E3</f>
        <v>0.35849056603773582</v>
      </c>
      <c r="B11" s="43">
        <f>1-A11</f>
        <v>0.64150943396226423</v>
      </c>
      <c r="C11" s="43">
        <f>D4/E4</f>
        <v>0.33</v>
      </c>
      <c r="D11" s="43">
        <f>1-C11</f>
        <v>0.66999999999999993</v>
      </c>
      <c r="E11" s="59"/>
      <c r="F11" s="59"/>
      <c r="H11">
        <v>2</v>
      </c>
      <c r="I11">
        <v>2</v>
      </c>
      <c r="J11">
        <v>2</v>
      </c>
      <c r="K11">
        <v>2</v>
      </c>
      <c r="L11">
        <v>2</v>
      </c>
      <c r="N11" s="5" t="s">
        <v>88</v>
      </c>
      <c r="O11" s="5"/>
      <c r="P11" s="7">
        <f>P9+P10</f>
        <v>23</v>
      </c>
      <c r="Q11" s="7">
        <f>Q9+Q10</f>
        <v>25</v>
      </c>
      <c r="R11" s="7">
        <f>R9+R10</f>
        <v>48</v>
      </c>
    </row>
    <row r="12" spans="1:23" x14ac:dyDescent="0.3">
      <c r="E12" s="59"/>
      <c r="F12" s="59"/>
      <c r="H12">
        <v>1</v>
      </c>
      <c r="I12">
        <v>2</v>
      </c>
      <c r="J12">
        <v>1</v>
      </c>
      <c r="K12">
        <v>1</v>
      </c>
      <c r="L12">
        <v>2</v>
      </c>
    </row>
    <row r="13" spans="1:23" x14ac:dyDescent="0.3">
      <c r="H13">
        <v>1</v>
      </c>
      <c r="I13">
        <v>1</v>
      </c>
      <c r="J13">
        <v>2</v>
      </c>
      <c r="K13">
        <v>2</v>
      </c>
      <c r="L13">
        <v>1</v>
      </c>
      <c r="N13" s="5" t="s">
        <v>115</v>
      </c>
      <c r="O13" s="53" t="s">
        <v>90</v>
      </c>
      <c r="P13" s="53"/>
      <c r="Q13" s="53"/>
      <c r="R13" s="5"/>
      <c r="T13" s="9" t="s">
        <v>83</v>
      </c>
      <c r="U13" s="9" t="s">
        <v>84</v>
      </c>
      <c r="V13" s="9" t="s">
        <v>85</v>
      </c>
      <c r="W13" s="9" t="s">
        <v>86</v>
      </c>
    </row>
    <row r="14" spans="1:23" x14ac:dyDescent="0.3">
      <c r="H14">
        <v>1</v>
      </c>
      <c r="I14">
        <v>2</v>
      </c>
      <c r="J14">
        <v>1</v>
      </c>
      <c r="K14">
        <v>1</v>
      </c>
      <c r="L14">
        <v>2</v>
      </c>
      <c r="N14" s="53" t="s">
        <v>89</v>
      </c>
      <c r="O14" s="5"/>
      <c r="P14" s="5" t="s">
        <v>87</v>
      </c>
      <c r="Q14" s="5" t="s">
        <v>56</v>
      </c>
      <c r="R14" s="5" t="s">
        <v>88</v>
      </c>
      <c r="T14" s="41">
        <f>P15/(P15+Q15)</f>
        <v>0.36</v>
      </c>
      <c r="U14" s="41">
        <f>1-T14</f>
        <v>0.64</v>
      </c>
      <c r="V14" s="41">
        <f>Q16/(Q16+P16)</f>
        <v>0.23809523809523808</v>
      </c>
      <c r="W14" s="41">
        <f>1-V14</f>
        <v>0.76190476190476186</v>
      </c>
    </row>
    <row r="15" spans="1:23" x14ac:dyDescent="0.3">
      <c r="H15">
        <v>1</v>
      </c>
      <c r="I15">
        <v>1</v>
      </c>
      <c r="J15">
        <v>1</v>
      </c>
      <c r="K15">
        <v>2</v>
      </c>
      <c r="L15">
        <v>1</v>
      </c>
      <c r="N15" s="53"/>
      <c r="O15" s="5" t="s">
        <v>87</v>
      </c>
      <c r="P15" s="7">
        <v>9</v>
      </c>
      <c r="Q15" s="7">
        <v>16</v>
      </c>
      <c r="R15" s="7">
        <f>P15+Q15</f>
        <v>25</v>
      </c>
    </row>
    <row r="16" spans="1:23" x14ac:dyDescent="0.3">
      <c r="H16">
        <v>2</v>
      </c>
      <c r="I16">
        <v>2</v>
      </c>
      <c r="J16">
        <v>2</v>
      </c>
      <c r="K16">
        <v>1</v>
      </c>
      <c r="L16">
        <v>1</v>
      </c>
      <c r="N16" s="53"/>
      <c r="O16" s="5" t="s">
        <v>56</v>
      </c>
      <c r="P16" s="7">
        <v>16</v>
      </c>
      <c r="Q16" s="7">
        <v>5</v>
      </c>
      <c r="R16" s="7">
        <f>P16+Q16</f>
        <v>21</v>
      </c>
    </row>
    <row r="17" spans="1:23" x14ac:dyDescent="0.3">
      <c r="H17">
        <v>1</v>
      </c>
      <c r="I17">
        <v>1</v>
      </c>
      <c r="J17">
        <v>1</v>
      </c>
      <c r="K17">
        <v>1</v>
      </c>
      <c r="L17">
        <v>2</v>
      </c>
      <c r="N17" s="5" t="s">
        <v>88</v>
      </c>
      <c r="O17" s="5"/>
      <c r="P17" s="7">
        <f>P15+P16</f>
        <v>25</v>
      </c>
      <c r="Q17" s="7">
        <f>Q15+Q16</f>
        <v>21</v>
      </c>
      <c r="R17" s="7">
        <f>R15+R16</f>
        <v>46</v>
      </c>
    </row>
    <row r="18" spans="1:23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2</v>
      </c>
      <c r="I18">
        <v>2</v>
      </c>
      <c r="J18">
        <v>2</v>
      </c>
      <c r="K18">
        <v>1</v>
      </c>
      <c r="L18">
        <v>2</v>
      </c>
    </row>
    <row r="19" spans="1:23" x14ac:dyDescent="0.3">
      <c r="A19" s="54"/>
      <c r="B19" s="54"/>
      <c r="C19" s="69"/>
      <c r="D19" s="54"/>
      <c r="E19" s="54"/>
      <c r="F19" s="54"/>
      <c r="H19">
        <v>2</v>
      </c>
      <c r="I19">
        <v>2</v>
      </c>
      <c r="J19">
        <v>1</v>
      </c>
      <c r="K19">
        <v>1</v>
      </c>
      <c r="L19">
        <v>2</v>
      </c>
      <c r="N19" s="5" t="s">
        <v>117</v>
      </c>
      <c r="O19" s="53" t="s">
        <v>90</v>
      </c>
      <c r="P19" s="53"/>
      <c r="Q19" s="53"/>
      <c r="R19" s="5"/>
      <c r="T19" s="9" t="s">
        <v>83</v>
      </c>
      <c r="U19" s="9" t="s">
        <v>84</v>
      </c>
      <c r="V19" s="9" t="s">
        <v>85</v>
      </c>
      <c r="W19" s="9" t="s">
        <v>86</v>
      </c>
    </row>
    <row r="20" spans="1:23" x14ac:dyDescent="0.3">
      <c r="A20" s="54"/>
      <c r="B20" s="54"/>
      <c r="C20" s="69"/>
      <c r="D20" s="54"/>
      <c r="E20" s="54"/>
      <c r="F20" s="54"/>
      <c r="H20">
        <v>1</v>
      </c>
      <c r="I20">
        <v>1</v>
      </c>
      <c r="J20">
        <v>2</v>
      </c>
      <c r="K20">
        <v>2</v>
      </c>
      <c r="L20">
        <v>1</v>
      </c>
      <c r="N20" s="53" t="s">
        <v>89</v>
      </c>
      <c r="O20" s="5"/>
      <c r="P20" s="5" t="s">
        <v>87</v>
      </c>
      <c r="Q20" s="5" t="s">
        <v>56</v>
      </c>
      <c r="R20" s="5" t="s">
        <v>88</v>
      </c>
      <c r="T20" s="41">
        <f>P21/(P21+Q21)</f>
        <v>0.45833333333333331</v>
      </c>
      <c r="U20" s="41">
        <f>1-T20</f>
        <v>0.54166666666666674</v>
      </c>
      <c r="V20" s="40">
        <f>Q22/(Q22+P22)</f>
        <v>0.125</v>
      </c>
      <c r="W20" s="40">
        <f>1-V20</f>
        <v>0.875</v>
      </c>
    </row>
    <row r="21" spans="1:23" x14ac:dyDescent="0.3">
      <c r="A21" s="54"/>
      <c r="B21" s="54"/>
      <c r="C21" s="70"/>
      <c r="D21" s="54"/>
      <c r="E21" s="54"/>
      <c r="F21" s="54"/>
      <c r="H21">
        <v>2</v>
      </c>
      <c r="I21">
        <v>2</v>
      </c>
      <c r="J21">
        <v>1</v>
      </c>
      <c r="K21">
        <v>1</v>
      </c>
      <c r="L21">
        <v>1</v>
      </c>
      <c r="N21" s="53"/>
      <c r="O21" s="5" t="s">
        <v>87</v>
      </c>
      <c r="P21" s="7">
        <v>11</v>
      </c>
      <c r="Q21" s="7">
        <v>13</v>
      </c>
      <c r="R21" s="7">
        <f>P21+Q21</f>
        <v>24</v>
      </c>
    </row>
    <row r="22" spans="1:23" x14ac:dyDescent="0.3">
      <c r="A22" s="37">
        <v>1</v>
      </c>
      <c r="B22" s="37">
        <v>91</v>
      </c>
      <c r="C22" s="40">
        <f>($C$4*$D$11*$A$11^0)+($D$3*$B$11*$C$11^0)</f>
        <v>88.512641509433962</v>
      </c>
      <c r="D22" s="37">
        <v>95.144999999999996</v>
      </c>
      <c r="E22" s="5" t="s">
        <v>125</v>
      </c>
      <c r="F22" s="5" t="s">
        <v>125</v>
      </c>
      <c r="H22">
        <v>2</v>
      </c>
      <c r="I22">
        <v>1</v>
      </c>
      <c r="J22">
        <v>1</v>
      </c>
      <c r="K22">
        <v>2</v>
      </c>
      <c r="L22">
        <v>1</v>
      </c>
      <c r="N22" s="53"/>
      <c r="O22" s="5" t="s">
        <v>56</v>
      </c>
      <c r="P22" s="7">
        <v>14</v>
      </c>
      <c r="Q22" s="7">
        <v>2</v>
      </c>
      <c r="R22" s="7">
        <f>P22+Q22</f>
        <v>16</v>
      </c>
    </row>
    <row r="23" spans="1:23" x14ac:dyDescent="0.3">
      <c r="A23" s="37">
        <v>2</v>
      </c>
      <c r="B23" s="37">
        <v>33</v>
      </c>
      <c r="C23" s="40">
        <f>($C$4*$D$11*$A$11^1)+($D$3*$B$11*$C$11^1)</f>
        <v>30.488113207547173</v>
      </c>
      <c r="D23" s="37">
        <v>28.837</v>
      </c>
      <c r="E23" s="5" t="s">
        <v>125</v>
      </c>
      <c r="F23" s="5" t="s">
        <v>125</v>
      </c>
      <c r="H23">
        <v>1</v>
      </c>
      <c r="I23">
        <v>2</v>
      </c>
      <c r="J23">
        <v>2</v>
      </c>
      <c r="K23">
        <v>1</v>
      </c>
      <c r="L23">
        <v>2</v>
      </c>
      <c r="N23" s="5" t="s">
        <v>88</v>
      </c>
      <c r="O23" s="5"/>
      <c r="P23" s="7">
        <f>P21+P22</f>
        <v>25</v>
      </c>
      <c r="Q23" s="7">
        <f>Q21+Q22</f>
        <v>15</v>
      </c>
      <c r="R23" s="7">
        <f>R21+R22</f>
        <v>40</v>
      </c>
    </row>
    <row r="24" spans="1:23" x14ac:dyDescent="0.3">
      <c r="A24" s="37">
        <v>3</v>
      </c>
      <c r="B24" s="37">
        <v>8</v>
      </c>
      <c r="C24" s="40">
        <f>($C$4*$D$11*$A$11^2)+($D$3*$B$11*$C$11^2)</f>
        <v>10.519565824136702</v>
      </c>
      <c r="D24" s="37">
        <v>9.5440000000000005</v>
      </c>
      <c r="E24" s="37">
        <v>3</v>
      </c>
      <c r="F24" s="5">
        <v>5</v>
      </c>
      <c r="H24">
        <v>2</v>
      </c>
      <c r="I24">
        <v>1</v>
      </c>
      <c r="J24">
        <v>1</v>
      </c>
      <c r="K24">
        <v>2</v>
      </c>
      <c r="L24">
        <v>2</v>
      </c>
    </row>
    <row r="25" spans="1:23" x14ac:dyDescent="0.3">
      <c r="A25" s="37">
        <v>4</v>
      </c>
      <c r="B25" s="37">
        <v>5</v>
      </c>
      <c r="C25" s="40">
        <f>($C$4*$D$11*$A$11^3)+($D$3*$B$11*$C$11^3)</f>
        <v>3.6358205115363686</v>
      </c>
      <c r="D25" s="37">
        <v>3.419</v>
      </c>
      <c r="E25" s="5">
        <v>3</v>
      </c>
      <c r="F25" s="5">
        <v>2</v>
      </c>
      <c r="H25">
        <v>1</v>
      </c>
      <c r="I25">
        <v>2</v>
      </c>
      <c r="J25">
        <v>2</v>
      </c>
      <c r="K25">
        <v>1</v>
      </c>
      <c r="L25">
        <v>2</v>
      </c>
      <c r="N25" s="5" t="s">
        <v>118</v>
      </c>
      <c r="O25" s="53" t="s">
        <v>90</v>
      </c>
      <c r="P25" s="53"/>
      <c r="Q25" s="53"/>
      <c r="R25" s="5"/>
      <c r="T25" s="9" t="s">
        <v>83</v>
      </c>
      <c r="U25" s="9" t="s">
        <v>84</v>
      </c>
      <c r="V25" s="9" t="s">
        <v>85</v>
      </c>
      <c r="W25" s="9" t="s">
        <v>86</v>
      </c>
    </row>
    <row r="26" spans="1:23" x14ac:dyDescent="0.3">
      <c r="A26" s="37">
        <v>5</v>
      </c>
      <c r="B26" s="37">
        <v>1</v>
      </c>
      <c r="C26" s="40">
        <f>($C$4*$D$11*$A$11^4)+($D$3*$B$11*$C$11^4)</f>
        <v>1.2587436367665088</v>
      </c>
      <c r="D26" s="37">
        <v>1.224</v>
      </c>
      <c r="E26" s="5">
        <v>0</v>
      </c>
      <c r="F26" s="5">
        <v>1</v>
      </c>
      <c r="H26">
        <v>1</v>
      </c>
      <c r="I26">
        <v>1</v>
      </c>
      <c r="J26">
        <v>1</v>
      </c>
      <c r="K26">
        <v>1</v>
      </c>
      <c r="L26">
        <v>1</v>
      </c>
      <c r="N26" s="53" t="s">
        <v>89</v>
      </c>
      <c r="O26" s="5"/>
      <c r="P26" s="5" t="s">
        <v>87</v>
      </c>
      <c r="Q26" s="5" t="s">
        <v>56</v>
      </c>
      <c r="R26" s="5" t="s">
        <v>88</v>
      </c>
      <c r="T26" s="41">
        <f>P27/(P27+Q27)</f>
        <v>0.41666666666666669</v>
      </c>
      <c r="U26" s="41">
        <f>1-T26</f>
        <v>0.58333333333333326</v>
      </c>
      <c r="V26" s="40">
        <f>Q28/(Q28+P28)</f>
        <v>0.5714285714285714</v>
      </c>
      <c r="W26" s="40">
        <f>1-V26</f>
        <v>0.4285714285714286</v>
      </c>
    </row>
    <row r="27" spans="1:23" x14ac:dyDescent="0.3">
      <c r="A27" s="37">
        <v>6</v>
      </c>
      <c r="B27" s="37">
        <v>0</v>
      </c>
      <c r="C27" s="40">
        <f>($C$4*$D$11*$A$11^5)+($D$3*$B$11*$C$11^5)</f>
        <v>0.43650869242031842</v>
      </c>
      <c r="D27" s="37">
        <v>0.47399999999999998</v>
      </c>
      <c r="E27" s="5">
        <v>0</v>
      </c>
      <c r="F27" s="5">
        <v>0</v>
      </c>
      <c r="H27">
        <v>2</v>
      </c>
      <c r="I27">
        <v>2</v>
      </c>
      <c r="J27">
        <v>1</v>
      </c>
      <c r="K27">
        <v>2</v>
      </c>
      <c r="L27">
        <v>2</v>
      </c>
      <c r="N27" s="53"/>
      <c r="O27" s="5" t="s">
        <v>87</v>
      </c>
      <c r="P27" s="7">
        <v>5</v>
      </c>
      <c r="Q27" s="7">
        <v>7</v>
      </c>
      <c r="R27" s="7">
        <f>P27+Q27</f>
        <v>12</v>
      </c>
    </row>
    <row r="28" spans="1:23" x14ac:dyDescent="0.3">
      <c r="A28" s="37">
        <v>7</v>
      </c>
      <c r="B28" s="37">
        <v>0</v>
      </c>
      <c r="C28" s="40">
        <f>($C$4*$D$11*$A$11^6)+($D$3*$B$11*$C$11^6)</f>
        <v>0.15162036950738506</v>
      </c>
      <c r="D28" s="37">
        <v>0.17499999999999999</v>
      </c>
      <c r="E28" s="5">
        <v>0</v>
      </c>
      <c r="F28" s="5">
        <v>0</v>
      </c>
      <c r="H28">
        <v>2</v>
      </c>
      <c r="I28">
        <v>1</v>
      </c>
      <c r="J28">
        <v>2</v>
      </c>
      <c r="K28">
        <v>2</v>
      </c>
      <c r="N28" s="53"/>
      <c r="O28" s="5" t="s">
        <v>56</v>
      </c>
      <c r="P28" s="7">
        <v>6</v>
      </c>
      <c r="Q28" s="7">
        <v>8</v>
      </c>
      <c r="R28" s="7">
        <f>P28+Q28</f>
        <v>14</v>
      </c>
    </row>
    <row r="29" spans="1:23" x14ac:dyDescent="0.3">
      <c r="A29" s="37">
        <v>8</v>
      </c>
      <c r="B29" s="37">
        <v>0</v>
      </c>
      <c r="C29" s="40">
        <f>($C$4*$D$11*$A$11^7)+($D$3*$B$11*$C$11^7)</f>
        <v>5.2749392110360074E-2</v>
      </c>
      <c r="D29" s="37">
        <v>4.5999999999999999E-2</v>
      </c>
      <c r="E29" s="5">
        <v>0</v>
      </c>
      <c r="F29" s="5">
        <v>0</v>
      </c>
      <c r="H29">
        <v>2</v>
      </c>
      <c r="I29">
        <v>2</v>
      </c>
      <c r="J29">
        <v>1</v>
      </c>
      <c r="K29">
        <v>1</v>
      </c>
      <c r="N29" s="5" t="s">
        <v>88</v>
      </c>
      <c r="O29" s="5"/>
      <c r="P29" s="7">
        <f>P27+P28</f>
        <v>11</v>
      </c>
      <c r="Q29" s="7">
        <f>Q27+Q28</f>
        <v>15</v>
      </c>
      <c r="R29" s="7">
        <f>R27+R28</f>
        <v>26</v>
      </c>
    </row>
    <row r="30" spans="1:23" x14ac:dyDescent="0.3">
      <c r="A30" s="37" t="s">
        <v>103</v>
      </c>
      <c r="B30" s="37">
        <v>0</v>
      </c>
      <c r="C30" s="40">
        <f>($C$4*$D$11*$A$11^8)+($D$3*$B$11*$C$11^8)</f>
        <v>1.8380483043315753E-2</v>
      </c>
      <c r="D30" s="37">
        <v>3.3000000000000002E-2</v>
      </c>
      <c r="E30" s="5">
        <v>0</v>
      </c>
      <c r="F30" s="5">
        <v>0</v>
      </c>
      <c r="H30">
        <v>2</v>
      </c>
      <c r="I30">
        <v>1</v>
      </c>
      <c r="J30">
        <v>1</v>
      </c>
      <c r="K30">
        <v>2</v>
      </c>
    </row>
    <row r="31" spans="1:23" x14ac:dyDescent="0.3">
      <c r="H31">
        <v>1</v>
      </c>
      <c r="I31">
        <v>2</v>
      </c>
      <c r="J31">
        <v>2</v>
      </c>
      <c r="K31">
        <v>1</v>
      </c>
    </row>
    <row r="32" spans="1:23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2</v>
      </c>
      <c r="I32">
        <v>1</v>
      </c>
      <c r="J32">
        <v>1</v>
      </c>
      <c r="K32">
        <v>1</v>
      </c>
    </row>
    <row r="33" spans="1:11" x14ac:dyDescent="0.3">
      <c r="A33" s="53"/>
      <c r="B33" s="54"/>
      <c r="C33" s="54"/>
      <c r="D33" s="54"/>
      <c r="E33" s="54"/>
      <c r="F33" s="53"/>
      <c r="G33" s="53"/>
      <c r="H33">
        <v>2</v>
      </c>
      <c r="I33">
        <v>2</v>
      </c>
      <c r="J33">
        <v>2</v>
      </c>
      <c r="K33">
        <v>2</v>
      </c>
    </row>
    <row r="34" spans="1:11" x14ac:dyDescent="0.3">
      <c r="A34" s="5" t="s">
        <v>87</v>
      </c>
      <c r="B34" s="64">
        <f>E24+E25+E26+E27+E28+E29+E30</f>
        <v>6</v>
      </c>
      <c r="C34" s="65"/>
      <c r="D34" s="66">
        <f>E24*1+E25*2+E26*3+E27*4+E28*5+E29*6+E30*7</f>
        <v>9</v>
      </c>
      <c r="E34" s="67"/>
      <c r="F34" s="48">
        <f>B34/D34</f>
        <v>0.66666666666666663</v>
      </c>
      <c r="G34" s="49">
        <f>F34</f>
        <v>0.66666666666666663</v>
      </c>
      <c r="H34">
        <v>1</v>
      </c>
      <c r="I34">
        <v>1</v>
      </c>
      <c r="J34">
        <v>2</v>
      </c>
      <c r="K34">
        <v>2</v>
      </c>
    </row>
    <row r="35" spans="1:11" x14ac:dyDescent="0.3">
      <c r="A35" s="5" t="s">
        <v>56</v>
      </c>
      <c r="B35" s="64">
        <f>F24+F25+F26+F27+F28+F29+F30</f>
        <v>8</v>
      </c>
      <c r="C35" s="65"/>
      <c r="D35" s="66">
        <f>F24*1+F25*2+F26*3+F27*4+F28*5+F29*6+F30*7</f>
        <v>12</v>
      </c>
      <c r="E35" s="67"/>
      <c r="F35" s="48">
        <f>B35/D35</f>
        <v>0.66666666666666663</v>
      </c>
      <c r="G35" s="49">
        <f>F35</f>
        <v>0.66666666666666663</v>
      </c>
      <c r="H35">
        <v>1</v>
      </c>
      <c r="I35">
        <v>1</v>
      </c>
      <c r="J35">
        <v>1</v>
      </c>
      <c r="K35">
        <v>1</v>
      </c>
    </row>
    <row r="36" spans="1:11" x14ac:dyDescent="0.3">
      <c r="H36">
        <v>1</v>
      </c>
      <c r="I36">
        <v>2</v>
      </c>
      <c r="J36">
        <v>1</v>
      </c>
      <c r="K36">
        <v>2</v>
      </c>
    </row>
    <row r="37" spans="1:11" x14ac:dyDescent="0.3">
      <c r="H37">
        <v>2</v>
      </c>
      <c r="I37">
        <v>1</v>
      </c>
      <c r="J37">
        <v>2</v>
      </c>
      <c r="K37">
        <v>1</v>
      </c>
    </row>
    <row r="38" spans="1:11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2</v>
      </c>
      <c r="I38">
        <v>1</v>
      </c>
      <c r="J38">
        <v>1</v>
      </c>
      <c r="K38">
        <v>1</v>
      </c>
    </row>
    <row r="39" spans="1:11" x14ac:dyDescent="0.3">
      <c r="A39" s="80" t="s">
        <v>87</v>
      </c>
      <c r="B39" s="83">
        <v>6</v>
      </c>
      <c r="C39" s="83"/>
      <c r="D39" s="92">
        <v>38</v>
      </c>
      <c r="E39" s="92"/>
      <c r="F39" s="82">
        <f>SUM(B39+D39)</f>
        <v>44</v>
      </c>
      <c r="H39">
        <v>1</v>
      </c>
      <c r="I39">
        <v>2</v>
      </c>
      <c r="J39">
        <v>2</v>
      </c>
      <c r="K39">
        <v>2</v>
      </c>
    </row>
    <row r="40" spans="1:11" x14ac:dyDescent="0.3">
      <c r="A40" s="80" t="s">
        <v>56</v>
      </c>
      <c r="B40" s="83">
        <v>8</v>
      </c>
      <c r="C40" s="83"/>
      <c r="D40" s="92">
        <v>33</v>
      </c>
      <c r="E40" s="92"/>
      <c r="F40" s="82">
        <f>SUM(B40+D40)</f>
        <v>41</v>
      </c>
      <c r="H40">
        <v>1</v>
      </c>
      <c r="I40">
        <v>1</v>
      </c>
      <c r="J40">
        <v>2</v>
      </c>
      <c r="K40">
        <v>1</v>
      </c>
    </row>
    <row r="41" spans="1:11" x14ac:dyDescent="0.3">
      <c r="A41" s="85"/>
      <c r="B41" s="86">
        <f>SUM(B39:B40)</f>
        <v>14</v>
      </c>
      <c r="C41" s="86"/>
      <c r="D41" s="87">
        <f>SUM(D39:D40)</f>
        <v>71</v>
      </c>
      <c r="E41" s="87"/>
      <c r="F41" s="82">
        <f>SUM(F39:F40)</f>
        <v>85</v>
      </c>
      <c r="H41">
        <v>2</v>
      </c>
      <c r="I41">
        <v>1</v>
      </c>
      <c r="J41">
        <v>1</v>
      </c>
      <c r="K41">
        <v>1</v>
      </c>
    </row>
    <row r="42" spans="1:11" x14ac:dyDescent="0.3">
      <c r="A42" s="40"/>
      <c r="B42" s="84" t="s">
        <v>134</v>
      </c>
      <c r="C42" s="84"/>
      <c r="D42" s="84" t="s">
        <v>132</v>
      </c>
      <c r="E42" s="84"/>
      <c r="F42" s="73"/>
      <c r="H42">
        <v>1</v>
      </c>
      <c r="I42">
        <v>1</v>
      </c>
      <c r="J42">
        <v>2</v>
      </c>
    </row>
    <row r="43" spans="1:11" x14ac:dyDescent="0.3">
      <c r="A43" s="82" t="s">
        <v>87</v>
      </c>
      <c r="B43" s="81">
        <f>B41*F39/F41</f>
        <v>7.2470588235294118</v>
      </c>
      <c r="C43" s="81"/>
      <c r="D43" s="81">
        <f>D41*F39/F41</f>
        <v>36.752941176470586</v>
      </c>
      <c r="E43" s="81"/>
      <c r="F43" s="73"/>
      <c r="H43">
        <v>2</v>
      </c>
      <c r="I43">
        <v>2</v>
      </c>
      <c r="J43">
        <v>1</v>
      </c>
    </row>
    <row r="44" spans="1:11" x14ac:dyDescent="0.3">
      <c r="A44" s="82" t="s">
        <v>56</v>
      </c>
      <c r="B44" s="81">
        <f>B41*F40/F41</f>
        <v>6.7529411764705882</v>
      </c>
      <c r="C44" s="81"/>
      <c r="D44" s="81">
        <f>D41*F40/F41</f>
        <v>34.247058823529414</v>
      </c>
      <c r="E44" s="81"/>
      <c r="F44" s="73"/>
      <c r="H44">
        <v>2</v>
      </c>
      <c r="I44">
        <v>1</v>
      </c>
      <c r="J44">
        <v>1</v>
      </c>
    </row>
    <row r="45" spans="1:11" x14ac:dyDescent="0.3">
      <c r="A45" s="88"/>
      <c r="B45" s="88"/>
      <c r="C45" s="88"/>
      <c r="D45" s="88"/>
      <c r="E45" s="88"/>
      <c r="F45" s="73"/>
      <c r="H45">
        <v>1</v>
      </c>
      <c r="I45">
        <v>2</v>
      </c>
      <c r="J45">
        <v>2</v>
      </c>
    </row>
    <row r="46" spans="1:11" x14ac:dyDescent="0.3">
      <c r="A46" s="88" t="s">
        <v>135</v>
      </c>
      <c r="B46" s="89">
        <f>CHITEST(B39:E40,B43:E44)</f>
        <v>0.91167133206027096</v>
      </c>
      <c r="C46" s="88"/>
      <c r="D46" s="88"/>
      <c r="E46" s="88"/>
      <c r="F46" s="73"/>
      <c r="H46">
        <v>1</v>
      </c>
      <c r="I46">
        <v>1</v>
      </c>
      <c r="J46">
        <v>1</v>
      </c>
    </row>
    <row r="47" spans="1:11" x14ac:dyDescent="0.3">
      <c r="H47">
        <v>2</v>
      </c>
      <c r="I47">
        <v>2</v>
      </c>
      <c r="J47">
        <v>1</v>
      </c>
    </row>
    <row r="48" spans="1:11" x14ac:dyDescent="0.3">
      <c r="I48">
        <v>2</v>
      </c>
    </row>
    <row r="49" spans="9:9" x14ac:dyDescent="0.3">
      <c r="I49">
        <v>2</v>
      </c>
    </row>
  </sheetData>
  <mergeCells count="42">
    <mergeCell ref="B44:C44"/>
    <mergeCell ref="D44:E44"/>
    <mergeCell ref="B41:C41"/>
    <mergeCell ref="D41:E41"/>
    <mergeCell ref="B42:C42"/>
    <mergeCell ref="D42:E42"/>
    <mergeCell ref="B43:C43"/>
    <mergeCell ref="D43:E43"/>
    <mergeCell ref="B38:C38"/>
    <mergeCell ref="D38:E38"/>
    <mergeCell ref="B39:C39"/>
    <mergeCell ref="D39:E39"/>
    <mergeCell ref="B40:C40"/>
    <mergeCell ref="D40:E40"/>
    <mergeCell ref="B34:C34"/>
    <mergeCell ref="D34:E34"/>
    <mergeCell ref="B35:C35"/>
    <mergeCell ref="D35:E35"/>
    <mergeCell ref="A32:A33"/>
    <mergeCell ref="B32:C33"/>
    <mergeCell ref="D32:E33"/>
    <mergeCell ref="F32:F33"/>
    <mergeCell ref="G32:G33"/>
    <mergeCell ref="N14:N16"/>
    <mergeCell ref="O19:Q19"/>
    <mergeCell ref="N20:N22"/>
    <mergeCell ref="O25:Q25"/>
    <mergeCell ref="N26:N28"/>
    <mergeCell ref="O1:Q1"/>
    <mergeCell ref="N2:N4"/>
    <mergeCell ref="O7:Q7"/>
    <mergeCell ref="N8:N10"/>
    <mergeCell ref="O13:Q13"/>
    <mergeCell ref="B1:D1"/>
    <mergeCell ref="A2:A4"/>
    <mergeCell ref="E10:F12"/>
    <mergeCell ref="A18:A21"/>
    <mergeCell ref="B18:B21"/>
    <mergeCell ref="C18:C21"/>
    <mergeCell ref="D18:D21"/>
    <mergeCell ref="E18:E21"/>
    <mergeCell ref="F18:F21"/>
  </mergeCells>
  <conditionalFormatting sqref="H1:L49">
    <cfRule type="cellIs" dxfId="109" priority="5" operator="equal">
      <formula>1</formula>
    </cfRule>
    <cfRule type="cellIs" dxfId="108" priority="6" operator="equal">
      <formula>2</formula>
    </cfRule>
  </conditionalFormatting>
  <conditionalFormatting sqref="A43:B44 A45:E46 D42:D44 B42">
    <cfRule type="cellIs" dxfId="11" priority="1" operator="equal">
      <formula>1</formula>
    </cfRule>
    <cfRule type="cellIs" dxfId="10" priority="2" operator="equal">
      <formula>2</formula>
    </cfRule>
    <cfRule type="cellIs" dxfId="9" priority="3" operator="equal">
      <formula>1</formula>
    </cfRule>
    <cfRule type="cellIs" dxfId="8" priority="4" operator="equal">
      <formula>2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9C1F9-5B4A-4EEB-8601-AF65DE74CAD8}">
  <dimension ref="A1:W51"/>
  <sheetViews>
    <sheetView topLeftCell="A31" workbookViewId="0">
      <selection activeCell="C50" sqref="C50"/>
    </sheetView>
  </sheetViews>
  <sheetFormatPr defaultRowHeight="14.4" x14ac:dyDescent="0.3"/>
  <cols>
    <col min="1" max="1" width="9.5546875" customWidth="1"/>
    <col min="3" max="3" width="9.6640625" customWidth="1"/>
  </cols>
  <sheetData>
    <row r="1" spans="1:23" x14ac:dyDescent="0.3">
      <c r="A1" s="5"/>
      <c r="B1" s="53" t="s">
        <v>90</v>
      </c>
      <c r="C1" s="53"/>
      <c r="D1" s="53"/>
      <c r="E1" s="5"/>
      <c r="H1">
        <v>2</v>
      </c>
      <c r="I1">
        <v>1</v>
      </c>
      <c r="J1">
        <v>2</v>
      </c>
      <c r="K1">
        <v>1</v>
      </c>
      <c r="N1" s="5" t="s">
        <v>113</v>
      </c>
      <c r="O1" s="53" t="s">
        <v>90</v>
      </c>
      <c r="P1" s="53"/>
      <c r="Q1" s="53"/>
      <c r="R1" s="5"/>
      <c r="T1" s="9" t="s">
        <v>83</v>
      </c>
      <c r="U1" s="9" t="s">
        <v>84</v>
      </c>
      <c r="V1" s="9" t="s">
        <v>85</v>
      </c>
      <c r="W1" s="9" t="s">
        <v>86</v>
      </c>
    </row>
    <row r="2" spans="1:23" x14ac:dyDescent="0.3">
      <c r="A2" s="53" t="s">
        <v>89</v>
      </c>
      <c r="B2" s="5"/>
      <c r="C2" s="5" t="s">
        <v>87</v>
      </c>
      <c r="D2" s="5" t="s">
        <v>73</v>
      </c>
      <c r="E2" s="5" t="s">
        <v>88</v>
      </c>
      <c r="H2">
        <v>1</v>
      </c>
      <c r="I2">
        <v>1</v>
      </c>
      <c r="J2">
        <v>2</v>
      </c>
      <c r="K2">
        <v>2</v>
      </c>
      <c r="N2" s="53" t="s">
        <v>89</v>
      </c>
      <c r="O2" s="5"/>
      <c r="P2" s="5" t="s">
        <v>87</v>
      </c>
      <c r="Q2" s="5" t="s">
        <v>73</v>
      </c>
      <c r="R2" s="5" t="s">
        <v>88</v>
      </c>
      <c r="T2" s="41">
        <f>P3/(P3+Q3)</f>
        <v>0.33333333333333331</v>
      </c>
      <c r="U2" s="41">
        <f>1-T2</f>
        <v>0.66666666666666674</v>
      </c>
      <c r="V2" s="41">
        <f>Q4/(Q4+P4)</f>
        <v>0.29166666666666669</v>
      </c>
      <c r="W2" s="41">
        <f>1-V2</f>
        <v>0.70833333333333326</v>
      </c>
    </row>
    <row r="3" spans="1:23" x14ac:dyDescent="0.3">
      <c r="A3" s="53"/>
      <c r="B3" s="5" t="s">
        <v>87</v>
      </c>
      <c r="C3" s="7">
        <v>30</v>
      </c>
      <c r="D3" s="7">
        <v>67</v>
      </c>
      <c r="E3" s="7">
        <f>C3+D3</f>
        <v>97</v>
      </c>
      <c r="H3">
        <v>1</v>
      </c>
      <c r="I3">
        <v>1</v>
      </c>
      <c r="J3">
        <v>2</v>
      </c>
      <c r="K3">
        <v>1</v>
      </c>
      <c r="N3" s="53"/>
      <c r="O3" s="5" t="s">
        <v>87</v>
      </c>
      <c r="P3" s="7">
        <v>8</v>
      </c>
      <c r="Q3" s="7">
        <v>16</v>
      </c>
      <c r="R3" s="7">
        <f>P3+Q3</f>
        <v>24</v>
      </c>
      <c r="T3" t="s">
        <v>116</v>
      </c>
    </row>
    <row r="4" spans="1:23" x14ac:dyDescent="0.3">
      <c r="A4" s="53"/>
      <c r="B4" s="5" t="s">
        <v>73</v>
      </c>
      <c r="C4" s="7">
        <v>68</v>
      </c>
      <c r="D4" s="7">
        <v>24</v>
      </c>
      <c r="E4" s="7">
        <f>C4+D4</f>
        <v>92</v>
      </c>
      <c r="H4">
        <v>2</v>
      </c>
      <c r="I4">
        <v>2</v>
      </c>
      <c r="J4">
        <v>1</v>
      </c>
      <c r="K4">
        <v>1</v>
      </c>
      <c r="N4" s="53"/>
      <c r="O4" s="5" t="s">
        <v>73</v>
      </c>
      <c r="P4" s="7">
        <v>17</v>
      </c>
      <c r="Q4" s="7">
        <v>7</v>
      </c>
      <c r="R4" s="7">
        <f>P4+Q4</f>
        <v>24</v>
      </c>
    </row>
    <row r="5" spans="1:23" x14ac:dyDescent="0.3">
      <c r="A5" s="5" t="s">
        <v>88</v>
      </c>
      <c r="B5" s="5"/>
      <c r="C5" s="7">
        <f>C3+C4</f>
        <v>98</v>
      </c>
      <c r="D5" s="7">
        <f>D3+D4</f>
        <v>91</v>
      </c>
      <c r="E5" s="7">
        <f>E3+E4</f>
        <v>189</v>
      </c>
      <c r="H5">
        <v>1</v>
      </c>
      <c r="I5">
        <v>2</v>
      </c>
      <c r="J5">
        <v>2</v>
      </c>
      <c r="K5">
        <v>2</v>
      </c>
      <c r="N5" s="5" t="s">
        <v>88</v>
      </c>
      <c r="O5" s="5"/>
      <c r="P5" s="7">
        <f>P3+P4</f>
        <v>25</v>
      </c>
      <c r="Q5" s="7">
        <f>Q3+Q4</f>
        <v>23</v>
      </c>
      <c r="R5" s="7">
        <f>R3+R4</f>
        <v>48</v>
      </c>
    </row>
    <row r="6" spans="1:23" x14ac:dyDescent="0.3">
      <c r="H6">
        <v>2</v>
      </c>
      <c r="I6">
        <v>2</v>
      </c>
      <c r="J6">
        <v>1</v>
      </c>
      <c r="K6">
        <v>1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1</v>
      </c>
      <c r="I7">
        <v>2</v>
      </c>
      <c r="J7">
        <v>2</v>
      </c>
      <c r="K7">
        <v>2</v>
      </c>
      <c r="N7" s="5" t="s">
        <v>114</v>
      </c>
      <c r="O7" s="53" t="s">
        <v>90</v>
      </c>
      <c r="P7" s="53"/>
      <c r="Q7" s="53"/>
      <c r="R7" s="5"/>
      <c r="T7" s="9" t="s">
        <v>83</v>
      </c>
      <c r="U7" s="9" t="s">
        <v>84</v>
      </c>
      <c r="V7" s="9" t="s">
        <v>85</v>
      </c>
      <c r="W7" s="9" t="s">
        <v>86</v>
      </c>
    </row>
    <row r="8" spans="1:23" x14ac:dyDescent="0.3">
      <c r="A8" s="8">
        <f>C3/C5</f>
        <v>0.30612244897959184</v>
      </c>
      <c r="B8" s="8">
        <f>1-A8</f>
        <v>0.69387755102040816</v>
      </c>
      <c r="C8" s="8">
        <f>D4/E4</f>
        <v>0.2608695652173913</v>
      </c>
      <c r="D8" s="8">
        <f>1-C8</f>
        <v>0.73913043478260865</v>
      </c>
      <c r="H8">
        <v>2</v>
      </c>
      <c r="I8">
        <v>1</v>
      </c>
      <c r="J8">
        <v>1</v>
      </c>
      <c r="K8">
        <v>1</v>
      </c>
      <c r="N8" s="53" t="s">
        <v>89</v>
      </c>
      <c r="O8" s="5"/>
      <c r="P8" s="5" t="s">
        <v>87</v>
      </c>
      <c r="Q8" s="5" t="s">
        <v>73</v>
      </c>
      <c r="R8" s="5" t="s">
        <v>88</v>
      </c>
      <c r="T8" s="41">
        <f>P9/(P9+Q9)</f>
        <v>0.34782608695652173</v>
      </c>
      <c r="U8" s="41">
        <f>1-T8</f>
        <v>0.65217391304347827</v>
      </c>
      <c r="V8" s="41">
        <f>Q10/(Q10+P10)</f>
        <v>0.41666666666666669</v>
      </c>
      <c r="W8" s="41">
        <f>1-V8</f>
        <v>0.58333333333333326</v>
      </c>
    </row>
    <row r="9" spans="1:23" x14ac:dyDescent="0.3">
      <c r="H9">
        <v>1</v>
      </c>
      <c r="I9">
        <v>1</v>
      </c>
      <c r="J9">
        <v>2</v>
      </c>
      <c r="K9">
        <v>1</v>
      </c>
      <c r="N9" s="53"/>
      <c r="O9" s="5" t="s">
        <v>87</v>
      </c>
      <c r="P9" s="7">
        <v>8</v>
      </c>
      <c r="Q9" s="7">
        <v>15</v>
      </c>
      <c r="R9" s="7">
        <f>P9+Q9</f>
        <v>23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1</v>
      </c>
      <c r="I10">
        <v>2</v>
      </c>
      <c r="J10">
        <v>1</v>
      </c>
      <c r="K10">
        <v>1</v>
      </c>
      <c r="N10" s="53"/>
      <c r="O10" s="5" t="s">
        <v>73</v>
      </c>
      <c r="P10" s="7">
        <v>14</v>
      </c>
      <c r="Q10" s="7">
        <v>10</v>
      </c>
      <c r="R10" s="7">
        <f>P10+Q10</f>
        <v>24</v>
      </c>
    </row>
    <row r="11" spans="1:23" x14ac:dyDescent="0.3">
      <c r="A11" s="43">
        <f>C3/E3</f>
        <v>0.30927835051546393</v>
      </c>
      <c r="B11" s="43">
        <f>1-A11</f>
        <v>0.69072164948453607</v>
      </c>
      <c r="C11" s="43">
        <f>D4/E4</f>
        <v>0.2608695652173913</v>
      </c>
      <c r="D11" s="43">
        <f>1-C11</f>
        <v>0.73913043478260865</v>
      </c>
      <c r="E11" s="59"/>
      <c r="F11" s="59"/>
      <c r="H11">
        <v>1</v>
      </c>
      <c r="I11">
        <v>1</v>
      </c>
      <c r="J11">
        <v>1</v>
      </c>
      <c r="K11">
        <v>2</v>
      </c>
      <c r="N11" s="5" t="s">
        <v>88</v>
      </c>
      <c r="O11" s="5"/>
      <c r="P11" s="7">
        <f>P9+P10</f>
        <v>22</v>
      </c>
      <c r="Q11" s="7">
        <f>Q9+Q10</f>
        <v>25</v>
      </c>
      <c r="R11" s="7">
        <f>R9+R10</f>
        <v>47</v>
      </c>
    </row>
    <row r="12" spans="1:23" x14ac:dyDescent="0.3">
      <c r="E12" s="59"/>
      <c r="F12" s="59"/>
      <c r="H12">
        <v>1</v>
      </c>
      <c r="I12">
        <v>2</v>
      </c>
      <c r="J12">
        <v>2</v>
      </c>
      <c r="K12">
        <v>1</v>
      </c>
    </row>
    <row r="13" spans="1:23" x14ac:dyDescent="0.3">
      <c r="H13">
        <v>2</v>
      </c>
      <c r="I13">
        <v>2</v>
      </c>
      <c r="J13">
        <v>2</v>
      </c>
      <c r="K13">
        <v>2</v>
      </c>
      <c r="N13" s="5" t="s">
        <v>115</v>
      </c>
      <c r="O13" s="53" t="s">
        <v>90</v>
      </c>
      <c r="P13" s="53"/>
      <c r="Q13" s="53"/>
      <c r="R13" s="5"/>
      <c r="T13" s="9" t="s">
        <v>83</v>
      </c>
      <c r="U13" s="9" t="s">
        <v>84</v>
      </c>
      <c r="V13" s="9" t="s">
        <v>85</v>
      </c>
      <c r="W13" s="9" t="s">
        <v>86</v>
      </c>
    </row>
    <row r="14" spans="1:23" x14ac:dyDescent="0.3">
      <c r="H14">
        <v>1</v>
      </c>
      <c r="I14">
        <v>2</v>
      </c>
      <c r="J14">
        <v>1</v>
      </c>
      <c r="K14">
        <v>1</v>
      </c>
      <c r="N14" s="53" t="s">
        <v>89</v>
      </c>
      <c r="O14" s="5"/>
      <c r="P14" s="5" t="s">
        <v>87</v>
      </c>
      <c r="Q14" s="5" t="s">
        <v>73</v>
      </c>
      <c r="R14" s="5" t="s">
        <v>88</v>
      </c>
      <c r="T14" s="41">
        <f>P15/(P15+Q15)</f>
        <v>0.2</v>
      </c>
      <c r="U14" s="41">
        <f>1-T14</f>
        <v>0.8</v>
      </c>
      <c r="V14" s="41">
        <f>Q16/(Q16+P16)</f>
        <v>0.16</v>
      </c>
      <c r="W14" s="41">
        <f>1-V14</f>
        <v>0.84</v>
      </c>
    </row>
    <row r="15" spans="1:23" x14ac:dyDescent="0.3">
      <c r="H15">
        <v>2</v>
      </c>
      <c r="I15">
        <v>1</v>
      </c>
      <c r="J15">
        <v>2</v>
      </c>
      <c r="K15">
        <v>1</v>
      </c>
      <c r="N15" s="53"/>
      <c r="O15" s="5" t="s">
        <v>87</v>
      </c>
      <c r="P15" s="7">
        <v>5</v>
      </c>
      <c r="Q15" s="7">
        <v>20</v>
      </c>
      <c r="R15" s="7">
        <f>P15+Q15</f>
        <v>25</v>
      </c>
    </row>
    <row r="16" spans="1:23" x14ac:dyDescent="0.3">
      <c r="H16">
        <v>1</v>
      </c>
      <c r="I16">
        <v>2</v>
      </c>
      <c r="J16">
        <v>1</v>
      </c>
      <c r="K16">
        <v>1</v>
      </c>
      <c r="N16" s="53"/>
      <c r="O16" s="5" t="s">
        <v>73</v>
      </c>
      <c r="P16" s="7">
        <v>21</v>
      </c>
      <c r="Q16" s="7">
        <v>4</v>
      </c>
      <c r="R16" s="7">
        <f>P16+Q16</f>
        <v>25</v>
      </c>
    </row>
    <row r="17" spans="1:23" x14ac:dyDescent="0.3">
      <c r="H17">
        <v>2</v>
      </c>
      <c r="I17">
        <v>1</v>
      </c>
      <c r="J17">
        <v>1</v>
      </c>
      <c r="K17">
        <v>2</v>
      </c>
      <c r="N17" s="5" t="s">
        <v>88</v>
      </c>
      <c r="O17" s="5"/>
      <c r="P17" s="7">
        <f>P15+P16</f>
        <v>26</v>
      </c>
      <c r="Q17" s="7">
        <f>Q15+Q16</f>
        <v>24</v>
      </c>
      <c r="R17" s="7">
        <f>R15+R16</f>
        <v>50</v>
      </c>
    </row>
    <row r="18" spans="1:23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1</v>
      </c>
      <c r="I18">
        <v>2</v>
      </c>
      <c r="J18">
        <v>2</v>
      </c>
      <c r="K18">
        <v>2</v>
      </c>
    </row>
    <row r="19" spans="1:23" x14ac:dyDescent="0.3">
      <c r="A19" s="54"/>
      <c r="B19" s="54"/>
      <c r="C19" s="69"/>
      <c r="D19" s="54"/>
      <c r="E19" s="54"/>
      <c r="F19" s="54"/>
      <c r="H19">
        <v>2</v>
      </c>
      <c r="I19">
        <v>1</v>
      </c>
      <c r="J19">
        <v>1</v>
      </c>
      <c r="K19">
        <v>1</v>
      </c>
      <c r="N19" s="5" t="s">
        <v>117</v>
      </c>
      <c r="O19" s="53" t="s">
        <v>90</v>
      </c>
      <c r="P19" s="53"/>
      <c r="Q19" s="53"/>
      <c r="R19" s="5"/>
      <c r="T19" s="9" t="s">
        <v>83</v>
      </c>
      <c r="U19" s="9" t="s">
        <v>84</v>
      </c>
      <c r="V19" s="9" t="s">
        <v>85</v>
      </c>
      <c r="W19" s="9" t="s">
        <v>86</v>
      </c>
    </row>
    <row r="20" spans="1:23" x14ac:dyDescent="0.3">
      <c r="A20" s="54"/>
      <c r="B20" s="54"/>
      <c r="C20" s="69"/>
      <c r="D20" s="54"/>
      <c r="E20" s="54"/>
      <c r="F20" s="54"/>
      <c r="H20">
        <v>1</v>
      </c>
      <c r="I20">
        <v>2</v>
      </c>
      <c r="J20">
        <v>2</v>
      </c>
      <c r="K20">
        <v>2</v>
      </c>
      <c r="N20" s="53" t="s">
        <v>89</v>
      </c>
      <c r="O20" s="5"/>
      <c r="P20" s="5" t="s">
        <v>87</v>
      </c>
      <c r="Q20" s="5" t="s">
        <v>73</v>
      </c>
      <c r="R20" s="5" t="s">
        <v>88</v>
      </c>
      <c r="T20" s="41">
        <f>P21/(P21+Q21)</f>
        <v>0.36</v>
      </c>
      <c r="U20" s="41">
        <f>1-T20</f>
        <v>0.64</v>
      </c>
      <c r="V20" s="40">
        <f>Q22/(Q22+P22)</f>
        <v>0.15789473684210525</v>
      </c>
      <c r="W20" s="40">
        <f>1-V20</f>
        <v>0.84210526315789469</v>
      </c>
    </row>
    <row r="21" spans="1:23" x14ac:dyDescent="0.3">
      <c r="A21" s="54"/>
      <c r="B21" s="54"/>
      <c r="C21" s="70"/>
      <c r="D21" s="54"/>
      <c r="E21" s="54"/>
      <c r="F21" s="54"/>
      <c r="H21">
        <v>2</v>
      </c>
      <c r="I21">
        <v>1</v>
      </c>
      <c r="J21">
        <v>1</v>
      </c>
      <c r="K21">
        <v>2</v>
      </c>
      <c r="N21" s="53"/>
      <c r="O21" s="5" t="s">
        <v>87</v>
      </c>
      <c r="P21" s="7">
        <v>9</v>
      </c>
      <c r="Q21" s="7">
        <v>16</v>
      </c>
      <c r="R21" s="7">
        <f>P21+Q21</f>
        <v>25</v>
      </c>
    </row>
    <row r="22" spans="1:23" x14ac:dyDescent="0.3">
      <c r="A22" s="37">
        <v>1</v>
      </c>
      <c r="B22" s="37">
        <v>97</v>
      </c>
      <c r="C22" s="40">
        <f>($C$4*$D$11*$A$11^0)+($D$3*$B$11*$C$11^0)</f>
        <v>96.539220080681304</v>
      </c>
      <c r="D22" s="37">
        <v>101.904</v>
      </c>
      <c r="E22" s="5" t="s">
        <v>125</v>
      </c>
      <c r="F22" s="5" t="s">
        <v>125</v>
      </c>
      <c r="H22">
        <v>1</v>
      </c>
      <c r="I22">
        <v>1</v>
      </c>
      <c r="J22">
        <v>2</v>
      </c>
      <c r="K22">
        <v>1</v>
      </c>
      <c r="N22" s="53"/>
      <c r="O22" s="5" t="s">
        <v>73</v>
      </c>
      <c r="P22" s="7">
        <v>16</v>
      </c>
      <c r="Q22" s="7">
        <v>3</v>
      </c>
      <c r="R22" s="7">
        <f>P22+Q22</f>
        <v>19</v>
      </c>
    </row>
    <row r="23" spans="1:23" x14ac:dyDescent="0.3">
      <c r="A23" s="37">
        <v>2</v>
      </c>
      <c r="B23" s="37">
        <v>30</v>
      </c>
      <c r="C23" s="40">
        <f>($C$4*$D$11*$A$11^1)+($D$3*$B$11*$C$11^1)</f>
        <v>27.617212012550425</v>
      </c>
      <c r="D23" s="37">
        <v>26.309000000000001</v>
      </c>
      <c r="E23" s="5" t="s">
        <v>125</v>
      </c>
      <c r="F23" s="5" t="s">
        <v>125</v>
      </c>
      <c r="H23">
        <v>2</v>
      </c>
      <c r="I23">
        <v>2</v>
      </c>
      <c r="J23">
        <v>1</v>
      </c>
      <c r="K23">
        <v>2</v>
      </c>
      <c r="N23" s="5" t="s">
        <v>88</v>
      </c>
      <c r="O23" s="5"/>
      <c r="P23" s="7">
        <f>P21+P22</f>
        <v>25</v>
      </c>
      <c r="Q23" s="7">
        <f>Q21+Q22</f>
        <v>19</v>
      </c>
      <c r="R23" s="7">
        <f>R21+R22</f>
        <v>44</v>
      </c>
    </row>
    <row r="24" spans="1:23" x14ac:dyDescent="0.3">
      <c r="A24" s="37">
        <v>3</v>
      </c>
      <c r="B24" s="37">
        <v>8</v>
      </c>
      <c r="C24" s="40">
        <f>($C$4*$D$11*$A$11^2)+($D$3*$B$11*$C$11^2)</f>
        <v>7.9569852377595289</v>
      </c>
      <c r="D24" s="37">
        <v>7.1289999999999996</v>
      </c>
      <c r="E24" s="37">
        <v>5</v>
      </c>
      <c r="F24" s="5">
        <v>3</v>
      </c>
      <c r="H24">
        <v>2</v>
      </c>
      <c r="I24">
        <v>1</v>
      </c>
      <c r="J24">
        <v>2</v>
      </c>
      <c r="K24">
        <v>1</v>
      </c>
    </row>
    <row r="25" spans="1:23" x14ac:dyDescent="0.3">
      <c r="A25" s="37">
        <v>4</v>
      </c>
      <c r="B25" s="37">
        <v>2</v>
      </c>
      <c r="C25" s="40">
        <f>($C$4*$D$11*$A$11^3)+($D$3*$B$11*$C$11^3)</f>
        <v>2.308465737414183</v>
      </c>
      <c r="D25" s="37">
        <v>2.09</v>
      </c>
      <c r="E25" s="5">
        <v>1</v>
      </c>
      <c r="F25" s="5">
        <v>1</v>
      </c>
      <c r="H25">
        <v>1</v>
      </c>
      <c r="I25">
        <v>2</v>
      </c>
      <c r="J25">
        <v>1</v>
      </c>
      <c r="K25">
        <v>2</v>
      </c>
      <c r="N25" s="1"/>
      <c r="O25" s="52"/>
      <c r="P25" s="52"/>
      <c r="Q25" s="52"/>
      <c r="R25" s="1"/>
      <c r="T25" s="4"/>
      <c r="U25" s="4"/>
      <c r="V25" s="4"/>
      <c r="W25" s="4"/>
    </row>
    <row r="26" spans="1:23" x14ac:dyDescent="0.3">
      <c r="A26" s="37">
        <v>5</v>
      </c>
      <c r="B26" s="37">
        <v>0</v>
      </c>
      <c r="C26" s="40">
        <f>($C$4*$D$11*$A$11^4)+($D$3*$B$11*$C$11^4)</f>
        <v>0.67418694540301483</v>
      </c>
      <c r="D26" s="37">
        <v>0.63100000000000001</v>
      </c>
      <c r="E26" s="5">
        <v>0</v>
      </c>
      <c r="F26" s="5">
        <v>0</v>
      </c>
      <c r="H26">
        <v>1</v>
      </c>
      <c r="I26">
        <v>1</v>
      </c>
      <c r="J26">
        <v>2</v>
      </c>
      <c r="K26">
        <v>1</v>
      </c>
      <c r="N26" s="52"/>
      <c r="O26" s="1"/>
      <c r="P26" s="1"/>
      <c r="Q26" s="1"/>
      <c r="R26" s="1"/>
      <c r="T26" s="8"/>
      <c r="U26" s="8"/>
    </row>
    <row r="27" spans="1:23" x14ac:dyDescent="0.3">
      <c r="A27" s="37">
        <v>6</v>
      </c>
      <c r="B27" s="37">
        <v>0</v>
      </c>
      <c r="C27" s="40">
        <f>($C$4*$D$11*$A$11^5)+($D$3*$B$11*$C$11^5)</f>
        <v>0.19813624465176238</v>
      </c>
      <c r="D27" s="37">
        <v>0.17599999999999999</v>
      </c>
      <c r="E27" s="5">
        <v>0</v>
      </c>
      <c r="F27" s="5">
        <v>0</v>
      </c>
      <c r="H27">
        <v>1</v>
      </c>
      <c r="I27">
        <v>1</v>
      </c>
      <c r="J27">
        <v>1</v>
      </c>
      <c r="K27">
        <v>2</v>
      </c>
      <c r="N27" s="52"/>
      <c r="O27" s="1"/>
      <c r="P27" s="6"/>
      <c r="Q27" s="6"/>
      <c r="R27" s="6"/>
    </row>
    <row r="28" spans="1:23" x14ac:dyDescent="0.3">
      <c r="A28" s="37">
        <v>7</v>
      </c>
      <c r="B28" s="37">
        <v>0</v>
      </c>
      <c r="C28" s="40">
        <f>($C$4*$D$11*$A$11^6)+($D$3*$B$11*$C$11^6)</f>
        <v>5.8572681768040827E-2</v>
      </c>
      <c r="D28" s="37">
        <v>5.3999999999999999E-2</v>
      </c>
      <c r="E28" s="5">
        <v>0</v>
      </c>
      <c r="F28" s="5">
        <v>0</v>
      </c>
      <c r="H28">
        <v>2</v>
      </c>
      <c r="I28">
        <v>2</v>
      </c>
      <c r="J28">
        <v>2</v>
      </c>
      <c r="K28">
        <v>2</v>
      </c>
      <c r="N28" s="52"/>
      <c r="O28" s="1"/>
      <c r="P28" s="6"/>
      <c r="Q28" s="6"/>
      <c r="R28" s="6"/>
    </row>
    <row r="29" spans="1:23" x14ac:dyDescent="0.3">
      <c r="A29" s="37">
        <v>8</v>
      </c>
      <c r="B29" s="37">
        <v>0</v>
      </c>
      <c r="C29" s="40">
        <f>($C$4*$D$11*$A$11^7)+($D$3*$B$11*$C$11^7)</f>
        <v>1.740920088374303E-2</v>
      </c>
      <c r="D29" s="37">
        <v>1.0999999999999999E-2</v>
      </c>
      <c r="E29" s="5">
        <v>0</v>
      </c>
      <c r="F29" s="5">
        <v>0</v>
      </c>
      <c r="H29">
        <v>2</v>
      </c>
      <c r="I29">
        <v>1</v>
      </c>
      <c r="J29">
        <v>1</v>
      </c>
      <c r="K29">
        <v>1</v>
      </c>
      <c r="N29" s="1"/>
      <c r="O29" s="1"/>
      <c r="P29" s="6"/>
      <c r="Q29" s="6"/>
      <c r="R29" s="6"/>
    </row>
    <row r="30" spans="1:23" x14ac:dyDescent="0.3">
      <c r="A30" s="37" t="s">
        <v>103</v>
      </c>
      <c r="B30" s="37">
        <v>0</v>
      </c>
      <c r="C30" s="40">
        <f>($C$4*$D$11*$A$11^8)+($D$3*$B$11*$C$11^8)</f>
        <v>5.2000989717049693E-3</v>
      </c>
      <c r="D30" s="37">
        <v>6.0000000000000001E-3</v>
      </c>
      <c r="E30" s="5">
        <v>0</v>
      </c>
      <c r="F30" s="5">
        <v>0</v>
      </c>
      <c r="H30">
        <v>1</v>
      </c>
      <c r="I30">
        <v>1</v>
      </c>
      <c r="J30">
        <v>2</v>
      </c>
      <c r="K30">
        <v>2</v>
      </c>
    </row>
    <row r="31" spans="1:23" x14ac:dyDescent="0.3">
      <c r="H31">
        <v>2</v>
      </c>
      <c r="I31">
        <v>2</v>
      </c>
      <c r="J31">
        <v>1</v>
      </c>
      <c r="K31">
        <v>1</v>
      </c>
    </row>
    <row r="32" spans="1:23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2</v>
      </c>
      <c r="I32">
        <v>2</v>
      </c>
      <c r="J32">
        <v>1</v>
      </c>
      <c r="K32">
        <v>1</v>
      </c>
    </row>
    <row r="33" spans="1:11" x14ac:dyDescent="0.3">
      <c r="A33" s="53"/>
      <c r="B33" s="54"/>
      <c r="C33" s="54"/>
      <c r="D33" s="54"/>
      <c r="E33" s="54"/>
      <c r="F33" s="53"/>
      <c r="G33" s="53"/>
      <c r="H33">
        <v>1</v>
      </c>
      <c r="I33">
        <v>1</v>
      </c>
      <c r="J33">
        <v>2</v>
      </c>
      <c r="K33">
        <v>2</v>
      </c>
    </row>
    <row r="34" spans="1:11" x14ac:dyDescent="0.3">
      <c r="A34" s="5" t="s">
        <v>87</v>
      </c>
      <c r="B34" s="64">
        <f>E24+E25+E26+E27+E28+E29+E30</f>
        <v>6</v>
      </c>
      <c r="C34" s="65"/>
      <c r="D34" s="66">
        <f>E24*1+E25*2+E26*3+E27*4+E28*5+E29*6+E30*7</f>
        <v>7</v>
      </c>
      <c r="E34" s="67"/>
      <c r="F34" s="48">
        <f>B34/D34</f>
        <v>0.8571428571428571</v>
      </c>
      <c r="G34" s="49">
        <f>F34</f>
        <v>0.8571428571428571</v>
      </c>
      <c r="H34">
        <v>1</v>
      </c>
      <c r="I34">
        <v>2</v>
      </c>
      <c r="J34">
        <v>1</v>
      </c>
      <c r="K34">
        <v>1</v>
      </c>
    </row>
    <row r="35" spans="1:11" x14ac:dyDescent="0.3">
      <c r="A35" s="5" t="s">
        <v>73</v>
      </c>
      <c r="B35" s="64">
        <f>F24+F25+F26+F27+F28+F29+F30</f>
        <v>4</v>
      </c>
      <c r="C35" s="65"/>
      <c r="D35" s="66">
        <f>F24*1+F25*2+F26*3+F27*4+F28*5+F29*6+F30*7</f>
        <v>5</v>
      </c>
      <c r="E35" s="67"/>
      <c r="F35" s="48">
        <f>B35/D35</f>
        <v>0.8</v>
      </c>
      <c r="G35" s="49">
        <f>F35</f>
        <v>0.8</v>
      </c>
      <c r="H35">
        <v>2</v>
      </c>
      <c r="I35">
        <v>1</v>
      </c>
      <c r="J35">
        <v>2</v>
      </c>
      <c r="K35">
        <v>2</v>
      </c>
    </row>
    <row r="36" spans="1:11" x14ac:dyDescent="0.3">
      <c r="H36">
        <v>2</v>
      </c>
      <c r="I36">
        <v>2</v>
      </c>
      <c r="J36">
        <v>1</v>
      </c>
      <c r="K36">
        <v>1</v>
      </c>
    </row>
    <row r="37" spans="1:11" x14ac:dyDescent="0.3">
      <c r="H37">
        <v>1</v>
      </c>
      <c r="I37">
        <v>2</v>
      </c>
      <c r="J37">
        <v>2</v>
      </c>
      <c r="K37">
        <v>1</v>
      </c>
    </row>
    <row r="38" spans="1:11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2</v>
      </c>
      <c r="I38">
        <v>2</v>
      </c>
      <c r="J38">
        <v>1</v>
      </c>
      <c r="K38">
        <v>2</v>
      </c>
    </row>
    <row r="39" spans="1:11" x14ac:dyDescent="0.3">
      <c r="A39" s="80" t="s">
        <v>87</v>
      </c>
      <c r="B39" s="83">
        <v>6</v>
      </c>
      <c r="C39" s="83"/>
      <c r="D39" s="92">
        <v>30</v>
      </c>
      <c r="E39" s="92"/>
      <c r="F39" s="82">
        <f>SUM(B39+D39)</f>
        <v>36</v>
      </c>
      <c r="H39">
        <v>2</v>
      </c>
      <c r="I39">
        <v>1</v>
      </c>
      <c r="J39">
        <v>2</v>
      </c>
      <c r="K39">
        <v>1</v>
      </c>
    </row>
    <row r="40" spans="1:11" x14ac:dyDescent="0.3">
      <c r="A40" s="80" t="s">
        <v>73</v>
      </c>
      <c r="B40" s="83">
        <v>4</v>
      </c>
      <c r="C40" s="83"/>
      <c r="D40" s="92">
        <v>24</v>
      </c>
      <c r="E40" s="92"/>
      <c r="F40" s="82">
        <f>SUM(B40+D40)</f>
        <v>28</v>
      </c>
      <c r="H40">
        <v>1</v>
      </c>
      <c r="I40">
        <v>1</v>
      </c>
      <c r="J40">
        <v>1</v>
      </c>
      <c r="K40">
        <v>2</v>
      </c>
    </row>
    <row r="41" spans="1:11" x14ac:dyDescent="0.3">
      <c r="A41" s="85"/>
      <c r="B41" s="86">
        <f>SUM(B39:B40)</f>
        <v>10</v>
      </c>
      <c r="C41" s="86"/>
      <c r="D41" s="87">
        <f>SUM(D39:D40)</f>
        <v>54</v>
      </c>
      <c r="E41" s="87"/>
      <c r="F41" s="82">
        <f>SUM(F39:F40)</f>
        <v>64</v>
      </c>
      <c r="H41">
        <v>2</v>
      </c>
      <c r="I41">
        <v>1</v>
      </c>
      <c r="J41">
        <v>2</v>
      </c>
      <c r="K41">
        <v>1</v>
      </c>
    </row>
    <row r="42" spans="1:11" x14ac:dyDescent="0.3">
      <c r="A42" s="40"/>
      <c r="B42" s="84" t="s">
        <v>134</v>
      </c>
      <c r="C42" s="84"/>
      <c r="D42" s="84" t="s">
        <v>132</v>
      </c>
      <c r="E42" s="84"/>
      <c r="F42" s="73"/>
      <c r="H42">
        <v>1</v>
      </c>
      <c r="I42">
        <v>2</v>
      </c>
      <c r="J42">
        <v>1</v>
      </c>
      <c r="K42">
        <v>2</v>
      </c>
    </row>
    <row r="43" spans="1:11" x14ac:dyDescent="0.3">
      <c r="A43" s="82" t="s">
        <v>87</v>
      </c>
      <c r="B43" s="81">
        <f>B41*F39/F41</f>
        <v>5.625</v>
      </c>
      <c r="C43" s="81"/>
      <c r="D43" s="81">
        <f>D41*F39/F41</f>
        <v>30.375</v>
      </c>
      <c r="E43" s="81"/>
      <c r="F43" s="73"/>
      <c r="H43">
        <v>2</v>
      </c>
      <c r="I43">
        <v>2</v>
      </c>
      <c r="J43">
        <v>1</v>
      </c>
      <c r="K43">
        <v>1</v>
      </c>
    </row>
    <row r="44" spans="1:11" x14ac:dyDescent="0.3">
      <c r="A44" s="82" t="s">
        <v>73</v>
      </c>
      <c r="B44" s="81">
        <f>B41*F40/F41</f>
        <v>4.375</v>
      </c>
      <c r="C44" s="81"/>
      <c r="D44" s="81">
        <f>D41*F40/F41</f>
        <v>23.625</v>
      </c>
      <c r="E44" s="81"/>
      <c r="F44" s="73"/>
      <c r="H44">
        <v>2</v>
      </c>
      <c r="I44">
        <v>2</v>
      </c>
      <c r="J44">
        <v>2</v>
      </c>
      <c r="K44">
        <v>1</v>
      </c>
    </row>
    <row r="45" spans="1:11" x14ac:dyDescent="0.3">
      <c r="A45" s="88"/>
      <c r="B45" s="88"/>
      <c r="C45" s="88"/>
      <c r="D45" s="88"/>
      <c r="E45" s="88"/>
      <c r="F45" s="73"/>
      <c r="H45">
        <v>1</v>
      </c>
      <c r="I45">
        <v>1</v>
      </c>
      <c r="J45">
        <v>2</v>
      </c>
      <c r="K45">
        <v>1</v>
      </c>
    </row>
    <row r="46" spans="1:11" x14ac:dyDescent="0.3">
      <c r="A46" s="88" t="s">
        <v>135</v>
      </c>
      <c r="B46" s="89">
        <f>CHITEST(B39:E40,B43:E44)</f>
        <v>0.99540659874159521</v>
      </c>
      <c r="C46" s="88"/>
      <c r="D46" s="88"/>
      <c r="E46" s="88"/>
      <c r="F46" s="73"/>
      <c r="H46">
        <v>2</v>
      </c>
      <c r="I46">
        <v>2</v>
      </c>
      <c r="J46">
        <v>1</v>
      </c>
    </row>
    <row r="47" spans="1:11" x14ac:dyDescent="0.3">
      <c r="H47">
        <v>2</v>
      </c>
      <c r="I47">
        <v>1</v>
      </c>
      <c r="J47">
        <v>2</v>
      </c>
    </row>
    <row r="48" spans="1:11" x14ac:dyDescent="0.3">
      <c r="H48">
        <v>1</v>
      </c>
      <c r="I48">
        <v>2</v>
      </c>
      <c r="J48">
        <v>1</v>
      </c>
    </row>
    <row r="49" spans="8:10" x14ac:dyDescent="0.3">
      <c r="H49">
        <v>1</v>
      </c>
      <c r="J49">
        <v>2</v>
      </c>
    </row>
    <row r="50" spans="8:10" x14ac:dyDescent="0.3">
      <c r="J50">
        <v>1</v>
      </c>
    </row>
    <row r="51" spans="8:10" x14ac:dyDescent="0.3">
      <c r="J51">
        <v>1</v>
      </c>
    </row>
  </sheetData>
  <mergeCells count="42">
    <mergeCell ref="B44:C44"/>
    <mergeCell ref="D44:E44"/>
    <mergeCell ref="B41:C41"/>
    <mergeCell ref="D41:E41"/>
    <mergeCell ref="B42:C42"/>
    <mergeCell ref="D42:E42"/>
    <mergeCell ref="B43:C43"/>
    <mergeCell ref="D43:E43"/>
    <mergeCell ref="B38:C38"/>
    <mergeCell ref="D38:E38"/>
    <mergeCell ref="B39:C39"/>
    <mergeCell ref="D39:E39"/>
    <mergeCell ref="B40:C40"/>
    <mergeCell ref="D40:E40"/>
    <mergeCell ref="B34:C34"/>
    <mergeCell ref="D34:E34"/>
    <mergeCell ref="B35:C35"/>
    <mergeCell ref="D35:E35"/>
    <mergeCell ref="A32:A33"/>
    <mergeCell ref="B32:C33"/>
    <mergeCell ref="D32:E33"/>
    <mergeCell ref="F32:F33"/>
    <mergeCell ref="G32:G33"/>
    <mergeCell ref="N14:N16"/>
    <mergeCell ref="O19:Q19"/>
    <mergeCell ref="N20:N22"/>
    <mergeCell ref="O25:Q25"/>
    <mergeCell ref="N26:N28"/>
    <mergeCell ref="O1:Q1"/>
    <mergeCell ref="N2:N4"/>
    <mergeCell ref="O7:Q7"/>
    <mergeCell ref="N8:N10"/>
    <mergeCell ref="O13:Q13"/>
    <mergeCell ref="B1:D1"/>
    <mergeCell ref="A2:A4"/>
    <mergeCell ref="E10:F12"/>
    <mergeCell ref="A18:A21"/>
    <mergeCell ref="B18:B21"/>
    <mergeCell ref="C18:C21"/>
    <mergeCell ref="D18:D21"/>
    <mergeCell ref="E18:E21"/>
    <mergeCell ref="F18:F21"/>
  </mergeCells>
  <conditionalFormatting sqref="H1:K51">
    <cfRule type="cellIs" dxfId="107" priority="5" operator="equal">
      <formula>1</formula>
    </cfRule>
    <cfRule type="cellIs" dxfId="106" priority="6" operator="equal">
      <formula>2</formula>
    </cfRule>
  </conditionalFormatting>
  <conditionalFormatting sqref="A43:B44 A45:E46 D42:D44 B42">
    <cfRule type="cellIs" dxfId="7" priority="1" operator="equal">
      <formula>1</formula>
    </cfRule>
    <cfRule type="cellIs" dxfId="6" priority="2" operator="equal">
      <formula>2</formula>
    </cfRule>
    <cfRule type="cellIs" dxfId="5" priority="3" operator="equal">
      <formula>1</formula>
    </cfRule>
    <cfRule type="cellIs" dxfId="4" priority="4" operator="equal">
      <formula>2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C81FA-1933-4A87-82EE-EEDC98855D1E}">
  <dimension ref="A1:W48"/>
  <sheetViews>
    <sheetView topLeftCell="A27" workbookViewId="0">
      <selection activeCell="D41" sqref="D41:E41"/>
    </sheetView>
  </sheetViews>
  <sheetFormatPr defaultRowHeight="14.4" x14ac:dyDescent="0.3"/>
  <cols>
    <col min="3" max="3" width="9.77734375" customWidth="1"/>
  </cols>
  <sheetData>
    <row r="1" spans="1:23" x14ac:dyDescent="0.3">
      <c r="A1" s="5"/>
      <c r="B1" s="53" t="s">
        <v>90</v>
      </c>
      <c r="C1" s="53"/>
      <c r="D1" s="53"/>
      <c r="E1" s="5"/>
    </row>
    <row r="2" spans="1:23" ht="43.2" x14ac:dyDescent="0.3">
      <c r="A2" s="53" t="s">
        <v>89</v>
      </c>
      <c r="B2" s="5"/>
      <c r="C2" s="5" t="s">
        <v>87</v>
      </c>
      <c r="D2" s="37" t="s">
        <v>50</v>
      </c>
      <c r="E2" s="5" t="s">
        <v>88</v>
      </c>
    </row>
    <row r="3" spans="1:23" x14ac:dyDescent="0.3">
      <c r="A3" s="53"/>
      <c r="B3" s="5" t="s">
        <v>87</v>
      </c>
      <c r="C3" s="7">
        <v>22</v>
      </c>
      <c r="D3" s="7">
        <v>67</v>
      </c>
      <c r="E3" s="7">
        <f>C3+D3</f>
        <v>89</v>
      </c>
    </row>
    <row r="4" spans="1:23" ht="43.2" x14ac:dyDescent="0.3">
      <c r="A4" s="53"/>
      <c r="B4" s="37" t="s">
        <v>50</v>
      </c>
      <c r="C4" s="7">
        <v>67</v>
      </c>
      <c r="D4" s="7">
        <v>35</v>
      </c>
      <c r="E4" s="7">
        <f>C4+D4</f>
        <v>102</v>
      </c>
    </row>
    <row r="5" spans="1:23" x14ac:dyDescent="0.3">
      <c r="A5" s="5" t="s">
        <v>88</v>
      </c>
      <c r="B5" s="5"/>
      <c r="C5" s="7">
        <f>C3+C4</f>
        <v>89</v>
      </c>
      <c r="D5" s="7">
        <f>D3+D4</f>
        <v>102</v>
      </c>
      <c r="E5" s="7">
        <f>E3+E4</f>
        <v>191</v>
      </c>
      <c r="H5">
        <v>1</v>
      </c>
      <c r="I5">
        <v>2</v>
      </c>
      <c r="J5">
        <v>1</v>
      </c>
      <c r="K5">
        <v>2</v>
      </c>
      <c r="L5">
        <v>2</v>
      </c>
      <c r="N5" s="5" t="s">
        <v>113</v>
      </c>
      <c r="O5" s="53" t="s">
        <v>90</v>
      </c>
      <c r="P5" s="53"/>
      <c r="Q5" s="53"/>
      <c r="R5" s="5"/>
      <c r="T5" s="9" t="s">
        <v>83</v>
      </c>
      <c r="U5" s="9" t="s">
        <v>84</v>
      </c>
      <c r="V5" s="9" t="s">
        <v>85</v>
      </c>
      <c r="W5" s="9" t="s">
        <v>86</v>
      </c>
    </row>
    <row r="6" spans="1:23" x14ac:dyDescent="0.3">
      <c r="H6">
        <v>2</v>
      </c>
      <c r="I6">
        <v>1</v>
      </c>
      <c r="J6">
        <v>2</v>
      </c>
      <c r="K6">
        <v>2</v>
      </c>
      <c r="L6">
        <v>2</v>
      </c>
      <c r="N6" s="53" t="s">
        <v>89</v>
      </c>
      <c r="O6" s="5"/>
      <c r="P6" s="5" t="s">
        <v>87</v>
      </c>
      <c r="Q6" s="5" t="s">
        <v>119</v>
      </c>
      <c r="R6" s="5" t="s">
        <v>88</v>
      </c>
      <c r="T6" s="41">
        <f>P7/(P7+Q7)</f>
        <v>0.32</v>
      </c>
      <c r="U6" s="41">
        <f>1-T6</f>
        <v>0.67999999999999994</v>
      </c>
      <c r="V6" s="41">
        <f>Q8/(Q8+P8)</f>
        <v>5.5555555555555552E-2</v>
      </c>
      <c r="W6" s="41">
        <f>1-V6</f>
        <v>0.94444444444444442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1</v>
      </c>
      <c r="I7">
        <v>2</v>
      </c>
      <c r="J7">
        <v>2</v>
      </c>
      <c r="K7">
        <v>1</v>
      </c>
      <c r="L7">
        <v>1</v>
      </c>
      <c r="N7" s="53"/>
      <c r="O7" s="5" t="s">
        <v>87</v>
      </c>
      <c r="P7" s="7">
        <v>8</v>
      </c>
      <c r="Q7" s="7">
        <v>17</v>
      </c>
      <c r="R7" s="7">
        <f>P7+Q7</f>
        <v>25</v>
      </c>
      <c r="T7" t="s">
        <v>116</v>
      </c>
    </row>
    <row r="8" spans="1:23" x14ac:dyDescent="0.3">
      <c r="A8" s="8">
        <f>C3/C5</f>
        <v>0.24719101123595505</v>
      </c>
      <c r="B8" s="8">
        <f>1-A8</f>
        <v>0.75280898876404501</v>
      </c>
      <c r="C8" s="8">
        <f>D4/E4</f>
        <v>0.34313725490196079</v>
      </c>
      <c r="D8" s="8">
        <f>1-C8</f>
        <v>0.65686274509803921</v>
      </c>
      <c r="H8">
        <v>1</v>
      </c>
      <c r="I8">
        <v>2</v>
      </c>
      <c r="J8">
        <v>2</v>
      </c>
      <c r="K8">
        <v>2</v>
      </c>
      <c r="L8">
        <v>2</v>
      </c>
      <c r="N8" s="53"/>
      <c r="O8" s="5" t="s">
        <v>119</v>
      </c>
      <c r="P8" s="7">
        <v>17</v>
      </c>
      <c r="Q8" s="7">
        <v>1</v>
      </c>
      <c r="R8" s="7">
        <f>P8+Q8</f>
        <v>18</v>
      </c>
    </row>
    <row r="9" spans="1:23" x14ac:dyDescent="0.3">
      <c r="H9">
        <v>2</v>
      </c>
      <c r="I9">
        <v>1</v>
      </c>
      <c r="J9">
        <v>2</v>
      </c>
      <c r="K9">
        <v>1</v>
      </c>
      <c r="L9">
        <v>1</v>
      </c>
      <c r="N9" s="5" t="s">
        <v>88</v>
      </c>
      <c r="O9" s="5"/>
      <c r="P9" s="7">
        <f>P7+P8</f>
        <v>25</v>
      </c>
      <c r="Q9" s="7">
        <f>Q7+Q8</f>
        <v>18</v>
      </c>
      <c r="R9" s="7">
        <f>R7+R8</f>
        <v>43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1</v>
      </c>
      <c r="I10">
        <v>1</v>
      </c>
      <c r="J10">
        <v>1</v>
      </c>
      <c r="K10">
        <v>2</v>
      </c>
      <c r="L10">
        <v>2</v>
      </c>
    </row>
    <row r="11" spans="1:23" x14ac:dyDescent="0.3">
      <c r="A11" s="43">
        <f>C3/E3</f>
        <v>0.24719101123595505</v>
      </c>
      <c r="B11" s="43">
        <f>1-A11</f>
        <v>0.75280898876404501</v>
      </c>
      <c r="C11" s="43">
        <f>D4/E4</f>
        <v>0.34313725490196079</v>
      </c>
      <c r="D11" s="43">
        <f>1-C11</f>
        <v>0.65686274509803921</v>
      </c>
      <c r="E11" s="59"/>
      <c r="F11" s="59"/>
      <c r="H11">
        <v>2</v>
      </c>
      <c r="I11">
        <v>2</v>
      </c>
      <c r="J11">
        <v>2</v>
      </c>
      <c r="K11">
        <v>2</v>
      </c>
      <c r="L11">
        <v>1</v>
      </c>
      <c r="N11" s="5" t="s">
        <v>114</v>
      </c>
      <c r="O11" s="53" t="s">
        <v>90</v>
      </c>
      <c r="P11" s="53"/>
      <c r="Q11" s="53"/>
      <c r="R11" s="5"/>
      <c r="T11" s="9" t="s">
        <v>83</v>
      </c>
      <c r="U11" s="9" t="s">
        <v>84</v>
      </c>
      <c r="V11" s="9" t="s">
        <v>85</v>
      </c>
      <c r="W11" s="9" t="s">
        <v>86</v>
      </c>
    </row>
    <row r="12" spans="1:23" x14ac:dyDescent="0.3">
      <c r="E12" s="59"/>
      <c r="F12" s="59"/>
      <c r="H12">
        <v>1</v>
      </c>
      <c r="I12">
        <v>1</v>
      </c>
      <c r="J12">
        <v>1</v>
      </c>
      <c r="K12">
        <v>1</v>
      </c>
      <c r="L12">
        <v>2</v>
      </c>
      <c r="N12" s="53" t="s">
        <v>89</v>
      </c>
      <c r="O12" s="5"/>
      <c r="P12" s="5" t="s">
        <v>87</v>
      </c>
      <c r="Q12" s="5" t="s">
        <v>119</v>
      </c>
      <c r="R12" s="5" t="s">
        <v>88</v>
      </c>
      <c r="T12" s="41">
        <f>P13/(P13+Q13)</f>
        <v>0.45833333333333331</v>
      </c>
      <c r="U12" s="41">
        <f>1-T12</f>
        <v>0.54166666666666674</v>
      </c>
      <c r="V12" s="41">
        <f>Q14/(Q14+P14)</f>
        <v>0.26315789473684209</v>
      </c>
      <c r="W12" s="41">
        <f>1-V12</f>
        <v>0.73684210526315796</v>
      </c>
    </row>
    <row r="13" spans="1:23" x14ac:dyDescent="0.3">
      <c r="H13">
        <v>1</v>
      </c>
      <c r="I13">
        <v>1</v>
      </c>
      <c r="J13">
        <v>2</v>
      </c>
      <c r="K13">
        <v>2</v>
      </c>
      <c r="L13">
        <v>1</v>
      </c>
      <c r="N13" s="53"/>
      <c r="O13" s="5" t="s">
        <v>87</v>
      </c>
      <c r="P13" s="7">
        <v>11</v>
      </c>
      <c r="Q13" s="7">
        <v>13</v>
      </c>
      <c r="R13" s="7">
        <f>P13+Q13</f>
        <v>24</v>
      </c>
    </row>
    <row r="14" spans="1:23" x14ac:dyDescent="0.3">
      <c r="H14">
        <v>2</v>
      </c>
      <c r="I14">
        <v>1</v>
      </c>
      <c r="J14">
        <v>1</v>
      </c>
      <c r="K14">
        <v>2</v>
      </c>
      <c r="L14">
        <v>2</v>
      </c>
      <c r="N14" s="53"/>
      <c r="O14" s="5" t="s">
        <v>119</v>
      </c>
      <c r="P14" s="7">
        <v>14</v>
      </c>
      <c r="Q14" s="7">
        <v>5</v>
      </c>
      <c r="R14" s="7">
        <f>P14+Q14</f>
        <v>19</v>
      </c>
    </row>
    <row r="15" spans="1:23" x14ac:dyDescent="0.3">
      <c r="H15">
        <v>1</v>
      </c>
      <c r="I15">
        <v>1</v>
      </c>
      <c r="J15">
        <v>2</v>
      </c>
      <c r="K15">
        <v>2</v>
      </c>
      <c r="L15">
        <v>1</v>
      </c>
      <c r="N15" s="5" t="s">
        <v>88</v>
      </c>
      <c r="O15" s="5"/>
      <c r="P15" s="7">
        <f>P13+P14</f>
        <v>25</v>
      </c>
      <c r="Q15" s="7">
        <f>Q13+Q14</f>
        <v>18</v>
      </c>
      <c r="R15" s="7">
        <f>R13+R14</f>
        <v>43</v>
      </c>
    </row>
    <row r="16" spans="1:23" x14ac:dyDescent="0.3">
      <c r="H16">
        <v>1</v>
      </c>
      <c r="I16">
        <v>2</v>
      </c>
      <c r="J16">
        <v>1</v>
      </c>
      <c r="K16">
        <v>1</v>
      </c>
      <c r="L16">
        <v>1</v>
      </c>
    </row>
    <row r="17" spans="1:23" x14ac:dyDescent="0.3">
      <c r="H17">
        <v>2</v>
      </c>
      <c r="I17">
        <v>1</v>
      </c>
      <c r="J17">
        <v>2</v>
      </c>
      <c r="K17">
        <v>2</v>
      </c>
      <c r="L17">
        <v>1</v>
      </c>
      <c r="N17" s="5" t="s">
        <v>115</v>
      </c>
      <c r="O17" s="53" t="s">
        <v>90</v>
      </c>
      <c r="P17" s="53"/>
      <c r="Q17" s="53"/>
      <c r="R17" s="5"/>
      <c r="T17" s="9" t="s">
        <v>83</v>
      </c>
      <c r="U17" s="9" t="s">
        <v>84</v>
      </c>
      <c r="V17" s="9" t="s">
        <v>85</v>
      </c>
      <c r="W17" s="9" t="s">
        <v>86</v>
      </c>
    </row>
    <row r="18" spans="1:23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1</v>
      </c>
      <c r="I18">
        <v>2</v>
      </c>
      <c r="J18">
        <v>2</v>
      </c>
      <c r="K18">
        <v>2</v>
      </c>
      <c r="L18">
        <v>2</v>
      </c>
      <c r="N18" s="53" t="s">
        <v>89</v>
      </c>
      <c r="O18" s="5"/>
      <c r="P18" s="5" t="s">
        <v>87</v>
      </c>
      <c r="Q18" s="5" t="s">
        <v>119</v>
      </c>
      <c r="R18" s="5" t="s">
        <v>88</v>
      </c>
      <c r="T18" s="41">
        <f>P19/(P19+Q19)</f>
        <v>6.25E-2</v>
      </c>
      <c r="U18" s="41">
        <f>1-T18</f>
        <v>0.9375</v>
      </c>
      <c r="V18" s="41">
        <f>Q20/(Q20+P20)</f>
        <v>0.41666666666666669</v>
      </c>
      <c r="W18" s="41">
        <f>1-V18</f>
        <v>0.58333333333333326</v>
      </c>
    </row>
    <row r="19" spans="1:23" x14ac:dyDescent="0.3">
      <c r="A19" s="54"/>
      <c r="B19" s="54"/>
      <c r="C19" s="69"/>
      <c r="D19" s="54"/>
      <c r="E19" s="54"/>
      <c r="F19" s="54"/>
      <c r="H19">
        <v>2</v>
      </c>
      <c r="I19">
        <v>1</v>
      </c>
      <c r="J19">
        <v>2</v>
      </c>
      <c r="K19">
        <v>2</v>
      </c>
      <c r="L19">
        <v>1</v>
      </c>
      <c r="N19" s="53"/>
      <c r="O19" s="5" t="s">
        <v>87</v>
      </c>
      <c r="P19" s="7">
        <v>1</v>
      </c>
      <c r="Q19" s="7">
        <v>15</v>
      </c>
      <c r="R19" s="7">
        <f>P19+Q19</f>
        <v>16</v>
      </c>
    </row>
    <row r="20" spans="1:23" x14ac:dyDescent="0.3">
      <c r="A20" s="54"/>
      <c r="B20" s="54"/>
      <c r="C20" s="69"/>
      <c r="D20" s="54"/>
      <c r="E20" s="54"/>
      <c r="F20" s="54"/>
      <c r="H20">
        <v>1</v>
      </c>
      <c r="I20">
        <v>1</v>
      </c>
      <c r="J20">
        <v>1</v>
      </c>
      <c r="K20">
        <v>1</v>
      </c>
      <c r="L20">
        <v>2</v>
      </c>
      <c r="N20" s="53"/>
      <c r="O20" s="5" t="s">
        <v>119</v>
      </c>
      <c r="P20" s="7">
        <v>14</v>
      </c>
      <c r="Q20" s="7">
        <v>10</v>
      </c>
      <c r="R20" s="7">
        <f>P20+Q20</f>
        <v>24</v>
      </c>
    </row>
    <row r="21" spans="1:23" x14ac:dyDescent="0.3">
      <c r="A21" s="54"/>
      <c r="B21" s="54"/>
      <c r="C21" s="70"/>
      <c r="D21" s="54"/>
      <c r="E21" s="54"/>
      <c r="F21" s="54"/>
      <c r="H21">
        <v>2</v>
      </c>
      <c r="I21">
        <v>2</v>
      </c>
      <c r="J21">
        <v>2</v>
      </c>
      <c r="K21">
        <v>2</v>
      </c>
      <c r="L21">
        <v>1</v>
      </c>
      <c r="N21" s="5" t="s">
        <v>88</v>
      </c>
      <c r="O21" s="5"/>
      <c r="P21" s="7">
        <f>P19+P20</f>
        <v>15</v>
      </c>
      <c r="Q21" s="7">
        <f>Q19+Q20</f>
        <v>25</v>
      </c>
      <c r="R21" s="7">
        <f>R19+R20</f>
        <v>40</v>
      </c>
    </row>
    <row r="22" spans="1:23" x14ac:dyDescent="0.3">
      <c r="A22" s="37">
        <v>1</v>
      </c>
      <c r="B22" s="37">
        <v>99</v>
      </c>
      <c r="C22" s="40">
        <f>($C$4*$D$11*$A$11^0)+($D$3*$B$11*$C$11^0)</f>
        <v>94.448006168759633</v>
      </c>
      <c r="D22" s="37">
        <v>103.486</v>
      </c>
      <c r="E22" s="5" t="s">
        <v>125</v>
      </c>
      <c r="F22" s="5" t="s">
        <v>125</v>
      </c>
      <c r="H22">
        <v>2</v>
      </c>
      <c r="I22">
        <v>2</v>
      </c>
      <c r="J22">
        <v>1</v>
      </c>
      <c r="K22">
        <v>1</v>
      </c>
      <c r="L22">
        <v>2</v>
      </c>
    </row>
    <row r="23" spans="1:23" x14ac:dyDescent="0.3">
      <c r="A23" s="37">
        <v>2</v>
      </c>
      <c r="B23" s="37">
        <v>23</v>
      </c>
      <c r="C23" s="40">
        <f>($C$4*$D$11*$A$11^1)+($D$3*$B$11*$C$11^1)</f>
        <v>28.186054196959685</v>
      </c>
      <c r="D23" s="37">
        <v>21.745999999999999</v>
      </c>
      <c r="E23" s="5" t="s">
        <v>125</v>
      </c>
      <c r="F23" s="5" t="s">
        <v>125</v>
      </c>
      <c r="H23">
        <v>1</v>
      </c>
      <c r="I23">
        <v>2</v>
      </c>
      <c r="J23">
        <v>2</v>
      </c>
      <c r="K23">
        <v>2</v>
      </c>
      <c r="L23">
        <v>2</v>
      </c>
      <c r="N23" s="5" t="s">
        <v>117</v>
      </c>
      <c r="O23" s="53" t="s">
        <v>90</v>
      </c>
      <c r="P23" s="53"/>
      <c r="Q23" s="53"/>
      <c r="R23" s="5"/>
      <c r="T23" s="9" t="s">
        <v>83</v>
      </c>
      <c r="U23" s="9" t="s">
        <v>84</v>
      </c>
      <c r="V23" s="9" t="s">
        <v>85</v>
      </c>
      <c r="W23" s="9" t="s">
        <v>86</v>
      </c>
    </row>
    <row r="24" spans="1:23" x14ac:dyDescent="0.3">
      <c r="A24" s="37">
        <v>3</v>
      </c>
      <c r="B24" s="37">
        <v>10</v>
      </c>
      <c r="C24" s="40">
        <f>($C$4*$D$11*$A$11^2)+($D$3*$B$11*$C$11^2)</f>
        <v>8.6279025877464228</v>
      </c>
      <c r="D24" s="37">
        <v>7.1879999999999997</v>
      </c>
      <c r="E24" s="37">
        <v>3</v>
      </c>
      <c r="F24" s="5">
        <v>7</v>
      </c>
      <c r="H24">
        <v>2</v>
      </c>
      <c r="I24">
        <v>1</v>
      </c>
      <c r="J24">
        <v>1</v>
      </c>
      <c r="K24">
        <v>2</v>
      </c>
      <c r="L24">
        <v>1</v>
      </c>
      <c r="N24" s="53" t="s">
        <v>89</v>
      </c>
      <c r="O24" s="5"/>
      <c r="P24" s="5" t="s">
        <v>87</v>
      </c>
      <c r="Q24" s="5" t="s">
        <v>119</v>
      </c>
      <c r="R24" s="5" t="s">
        <v>88</v>
      </c>
      <c r="T24" s="41">
        <f>P25/(P25+Q25)</f>
        <v>0</v>
      </c>
      <c r="U24" s="41">
        <f>1-T24</f>
        <v>1</v>
      </c>
      <c r="V24" s="40">
        <f>Q26/(Q26+P26)</f>
        <v>0.6</v>
      </c>
      <c r="W24" s="40">
        <f>1-V24</f>
        <v>0.4</v>
      </c>
    </row>
    <row r="25" spans="1:23" x14ac:dyDescent="0.3">
      <c r="A25" s="37">
        <v>4</v>
      </c>
      <c r="B25" s="37">
        <v>4</v>
      </c>
      <c r="C25" s="40">
        <f>($C$4*$D$11*$A$11^3)+($D$3*$B$11*$C$11^3)</f>
        <v>2.7025411143505309</v>
      </c>
      <c r="D25" s="37">
        <v>2.7370000000000001</v>
      </c>
      <c r="E25" s="5">
        <v>1</v>
      </c>
      <c r="F25" s="5">
        <v>3</v>
      </c>
      <c r="H25">
        <v>1</v>
      </c>
      <c r="I25">
        <v>2</v>
      </c>
      <c r="J25">
        <v>2</v>
      </c>
      <c r="K25">
        <v>2</v>
      </c>
      <c r="L25">
        <v>2</v>
      </c>
      <c r="N25" s="53"/>
      <c r="O25" s="5" t="s">
        <v>87</v>
      </c>
      <c r="P25" s="7">
        <v>0</v>
      </c>
      <c r="Q25" s="7">
        <v>10</v>
      </c>
      <c r="R25" s="7">
        <f>P25+Q25</f>
        <v>10</v>
      </c>
    </row>
    <row r="26" spans="1:23" x14ac:dyDescent="0.3">
      <c r="A26" s="37">
        <v>5</v>
      </c>
      <c r="B26" s="37">
        <v>0</v>
      </c>
      <c r="C26" s="40">
        <f>($C$4*$D$11*$A$11^4)+($D$3*$B$11*$C$11^4)</f>
        <v>0.86356387301605542</v>
      </c>
      <c r="D26" s="37">
        <v>1.1399999999999999</v>
      </c>
      <c r="E26" s="5">
        <v>0</v>
      </c>
      <c r="F26" s="5">
        <v>0</v>
      </c>
      <c r="H26">
        <v>1</v>
      </c>
      <c r="I26">
        <v>1</v>
      </c>
      <c r="J26">
        <v>2</v>
      </c>
      <c r="K26">
        <v>1</v>
      </c>
      <c r="L26">
        <v>1</v>
      </c>
      <c r="N26" s="53"/>
      <c r="O26" s="5" t="s">
        <v>119</v>
      </c>
      <c r="P26" s="7">
        <v>10</v>
      </c>
      <c r="Q26" s="7">
        <v>15</v>
      </c>
      <c r="R26" s="7">
        <f>P26+Q26</f>
        <v>25</v>
      </c>
    </row>
    <row r="27" spans="1:23" x14ac:dyDescent="0.3">
      <c r="A27" s="37">
        <v>6</v>
      </c>
      <c r="B27" s="37">
        <v>0</v>
      </c>
      <c r="C27" s="40">
        <f>($C$4*$D$11*$A$11^5)+($D$3*$B$11*$C$11^5)</f>
        <v>0.28055542382056975</v>
      </c>
      <c r="D27" s="37">
        <v>0.47099999999999997</v>
      </c>
      <c r="E27" s="5">
        <v>0</v>
      </c>
      <c r="F27" s="5">
        <v>0</v>
      </c>
      <c r="H27">
        <v>2</v>
      </c>
      <c r="I27">
        <v>1</v>
      </c>
      <c r="J27">
        <v>1</v>
      </c>
      <c r="K27">
        <v>2</v>
      </c>
      <c r="L27">
        <v>2</v>
      </c>
      <c r="N27" s="5" t="s">
        <v>88</v>
      </c>
      <c r="O27" s="5"/>
      <c r="P27" s="7">
        <f>P25+P26</f>
        <v>10</v>
      </c>
      <c r="Q27" s="7">
        <f>Q25+Q26</f>
        <v>25</v>
      </c>
      <c r="R27" s="7">
        <f>R25+R26</f>
        <v>35</v>
      </c>
    </row>
    <row r="28" spans="1:23" x14ac:dyDescent="0.3">
      <c r="A28" s="37">
        <v>7</v>
      </c>
      <c r="B28" s="37">
        <v>0</v>
      </c>
      <c r="C28" s="40">
        <f>($C$4*$D$11*$A$11^6)+($D$3*$B$11*$C$11^6)</f>
        <v>9.237192487685289E-2</v>
      </c>
      <c r="D28" s="37">
        <v>0.219</v>
      </c>
      <c r="E28" s="5">
        <v>0</v>
      </c>
      <c r="F28" s="5">
        <v>0</v>
      </c>
      <c r="H28">
        <v>1</v>
      </c>
      <c r="I28">
        <v>2</v>
      </c>
      <c r="J28">
        <v>2</v>
      </c>
      <c r="K28">
        <v>1</v>
      </c>
      <c r="L28">
        <v>1</v>
      </c>
    </row>
    <row r="29" spans="1:23" x14ac:dyDescent="0.3">
      <c r="A29" s="37">
        <v>8</v>
      </c>
      <c r="B29" s="37">
        <v>0</v>
      </c>
      <c r="C29" s="40">
        <f>($C$4*$D$11*$A$11^7)+($D$3*$B$11*$C$11^7)</f>
        <v>3.0732922347787607E-2</v>
      </c>
      <c r="D29" s="37">
        <v>9.6000000000000002E-2</v>
      </c>
      <c r="E29" s="5">
        <v>0</v>
      </c>
      <c r="F29" s="5">
        <v>0</v>
      </c>
      <c r="H29">
        <v>2</v>
      </c>
      <c r="I29">
        <v>2</v>
      </c>
      <c r="J29">
        <v>1</v>
      </c>
      <c r="K29">
        <v>2</v>
      </c>
      <c r="L29">
        <v>2</v>
      </c>
      <c r="N29" s="5" t="s">
        <v>118</v>
      </c>
      <c r="O29" s="53" t="s">
        <v>90</v>
      </c>
      <c r="P29" s="53"/>
      <c r="Q29" s="53"/>
      <c r="R29" s="5"/>
      <c r="T29" s="9" t="s">
        <v>83</v>
      </c>
      <c r="U29" s="9" t="s">
        <v>84</v>
      </c>
      <c r="V29" s="9" t="s">
        <v>85</v>
      </c>
      <c r="W29" s="9" t="s">
        <v>86</v>
      </c>
    </row>
    <row r="30" spans="1:23" x14ac:dyDescent="0.3">
      <c r="A30" s="37" t="s">
        <v>103</v>
      </c>
      <c r="B30" s="37">
        <v>0</v>
      </c>
      <c r="C30" s="40">
        <f>($C$4*$D$11*$A$11^8)+($D$3*$B$11*$C$11^8)</f>
        <v>1.030748498640858E-2</v>
      </c>
      <c r="D30" s="37">
        <v>7.0000000000000007E-2</v>
      </c>
      <c r="E30" s="5">
        <v>0</v>
      </c>
      <c r="F30" s="5">
        <v>0</v>
      </c>
      <c r="H30">
        <v>1</v>
      </c>
      <c r="I30">
        <v>2</v>
      </c>
      <c r="J30">
        <v>2</v>
      </c>
      <c r="K30">
        <v>2</v>
      </c>
      <c r="L30">
        <v>1</v>
      </c>
      <c r="N30" s="53" t="s">
        <v>89</v>
      </c>
      <c r="O30" s="5"/>
      <c r="P30" s="5" t="s">
        <v>87</v>
      </c>
      <c r="Q30" s="5" t="s">
        <v>119</v>
      </c>
      <c r="R30" s="5" t="s">
        <v>88</v>
      </c>
      <c r="T30" s="41">
        <f>P31/(P31+Q31)</f>
        <v>0.14285714285714285</v>
      </c>
      <c r="U30" s="41">
        <f>1-T30</f>
        <v>0.85714285714285721</v>
      </c>
      <c r="V30" s="40">
        <f>Q32/(Q32+P32)</f>
        <v>0.25</v>
      </c>
      <c r="W30" s="40">
        <f>1-V30</f>
        <v>0.75</v>
      </c>
    </row>
    <row r="31" spans="1:23" x14ac:dyDescent="0.3">
      <c r="H31">
        <v>1</v>
      </c>
      <c r="I31">
        <v>1</v>
      </c>
      <c r="J31">
        <v>2</v>
      </c>
      <c r="K31">
        <v>2</v>
      </c>
      <c r="L31">
        <v>2</v>
      </c>
      <c r="N31" s="53"/>
      <c r="O31" s="5" t="s">
        <v>87</v>
      </c>
      <c r="P31" s="7">
        <v>2</v>
      </c>
      <c r="Q31" s="7">
        <v>12</v>
      </c>
      <c r="R31" s="7">
        <f>P31+Q31</f>
        <v>14</v>
      </c>
    </row>
    <row r="32" spans="1:23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2</v>
      </c>
      <c r="I32">
        <v>2</v>
      </c>
      <c r="J32">
        <v>1</v>
      </c>
      <c r="K32">
        <v>2</v>
      </c>
      <c r="L32">
        <v>2</v>
      </c>
      <c r="N32" s="53"/>
      <c r="O32" s="5" t="s">
        <v>119</v>
      </c>
      <c r="P32" s="7">
        <v>12</v>
      </c>
      <c r="Q32" s="7">
        <v>4</v>
      </c>
      <c r="R32" s="7">
        <f>P32+Q32</f>
        <v>16</v>
      </c>
    </row>
    <row r="33" spans="1:18" x14ac:dyDescent="0.3">
      <c r="A33" s="53"/>
      <c r="B33" s="54"/>
      <c r="C33" s="54"/>
      <c r="D33" s="54"/>
      <c r="E33" s="54"/>
      <c r="F33" s="53"/>
      <c r="G33" s="53"/>
      <c r="H33">
        <v>1</v>
      </c>
      <c r="I33">
        <v>1</v>
      </c>
      <c r="J33">
        <v>2</v>
      </c>
      <c r="K33">
        <v>1</v>
      </c>
      <c r="L33">
        <v>1</v>
      </c>
      <c r="N33" s="5" t="s">
        <v>88</v>
      </c>
      <c r="O33" s="5"/>
      <c r="P33" s="7">
        <f>P31+P32</f>
        <v>14</v>
      </c>
      <c r="Q33" s="7">
        <f>Q31+Q32</f>
        <v>16</v>
      </c>
      <c r="R33" s="7">
        <f>R31+R32</f>
        <v>30</v>
      </c>
    </row>
    <row r="34" spans="1:18" x14ac:dyDescent="0.3">
      <c r="A34" s="5" t="s">
        <v>87</v>
      </c>
      <c r="B34" s="64">
        <f>E24+E25+E26+E27+E28+E29+E30</f>
        <v>4</v>
      </c>
      <c r="C34" s="65"/>
      <c r="D34" s="66">
        <f>E24*1+E25*2+E26*3+E27*4+E28*5+E29*6+E30*7</f>
        <v>5</v>
      </c>
      <c r="E34" s="67"/>
      <c r="F34" s="48">
        <f>B34/D34</f>
        <v>0.8</v>
      </c>
      <c r="G34" s="49">
        <f>F34</f>
        <v>0.8</v>
      </c>
      <c r="H34">
        <v>2</v>
      </c>
      <c r="I34">
        <v>1</v>
      </c>
      <c r="J34">
        <v>1</v>
      </c>
      <c r="K34">
        <v>2</v>
      </c>
      <c r="L34">
        <v>2</v>
      </c>
    </row>
    <row r="35" spans="1:18" x14ac:dyDescent="0.3">
      <c r="A35" s="5" t="s">
        <v>119</v>
      </c>
      <c r="B35" s="64">
        <f>F24+F25+F26+F27+F28+F29+F30</f>
        <v>10</v>
      </c>
      <c r="C35" s="65"/>
      <c r="D35" s="66">
        <f>F24*1+F25*2+F26*3+F27*4+F28*5+F29*6+F30*7</f>
        <v>13</v>
      </c>
      <c r="E35" s="67"/>
      <c r="F35" s="48">
        <f>B35/D35</f>
        <v>0.76923076923076927</v>
      </c>
      <c r="G35" s="49">
        <f>F35</f>
        <v>0.76923076923076927</v>
      </c>
      <c r="H35">
        <v>1</v>
      </c>
      <c r="I35">
        <v>2</v>
      </c>
      <c r="J35">
        <v>2</v>
      </c>
      <c r="K35">
        <v>2</v>
      </c>
      <c r="L35">
        <v>2</v>
      </c>
    </row>
    <row r="36" spans="1:18" x14ac:dyDescent="0.3">
      <c r="H36">
        <v>2</v>
      </c>
      <c r="I36">
        <v>1</v>
      </c>
      <c r="J36">
        <v>1</v>
      </c>
      <c r="K36">
        <v>2</v>
      </c>
    </row>
    <row r="37" spans="1:18" x14ac:dyDescent="0.3">
      <c r="H37">
        <v>1</v>
      </c>
      <c r="I37">
        <v>1</v>
      </c>
      <c r="J37">
        <v>2</v>
      </c>
      <c r="K37">
        <v>2</v>
      </c>
    </row>
    <row r="38" spans="1:18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1</v>
      </c>
      <c r="I38">
        <v>2</v>
      </c>
      <c r="J38">
        <v>2</v>
      </c>
      <c r="K38">
        <v>1</v>
      </c>
    </row>
    <row r="39" spans="1:18" x14ac:dyDescent="0.3">
      <c r="A39" s="80" t="s">
        <v>87</v>
      </c>
      <c r="B39" s="83">
        <v>4</v>
      </c>
      <c r="C39" s="83"/>
      <c r="D39" s="92">
        <v>22</v>
      </c>
      <c r="E39" s="92"/>
      <c r="F39" s="82">
        <f>SUM(B39+D39)</f>
        <v>26</v>
      </c>
      <c r="H39">
        <v>1</v>
      </c>
      <c r="I39">
        <v>1</v>
      </c>
      <c r="J39">
        <v>2</v>
      </c>
      <c r="K39">
        <v>2</v>
      </c>
    </row>
    <row r="40" spans="1:18" x14ac:dyDescent="0.3">
      <c r="A40" s="80" t="s">
        <v>119</v>
      </c>
      <c r="B40" s="83">
        <v>10</v>
      </c>
      <c r="C40" s="83"/>
      <c r="D40" s="92">
        <v>35</v>
      </c>
      <c r="E40" s="92"/>
      <c r="F40" s="82">
        <f>SUM(B40+D40)</f>
        <v>45</v>
      </c>
      <c r="H40">
        <v>2</v>
      </c>
      <c r="I40">
        <v>1</v>
      </c>
      <c r="J40">
        <v>1</v>
      </c>
      <c r="K40">
        <v>2</v>
      </c>
    </row>
    <row r="41" spans="1:18" x14ac:dyDescent="0.3">
      <c r="A41" s="85"/>
      <c r="B41" s="86">
        <f>SUM(B39:B40)</f>
        <v>14</v>
      </c>
      <c r="C41" s="86"/>
      <c r="D41" s="87">
        <f>SUM(D39:D40)</f>
        <v>57</v>
      </c>
      <c r="E41" s="87"/>
      <c r="F41" s="82">
        <f>SUM(F39:F40)</f>
        <v>71</v>
      </c>
      <c r="H41">
        <v>1</v>
      </c>
      <c r="I41">
        <v>1</v>
      </c>
      <c r="J41">
        <v>2</v>
      </c>
    </row>
    <row r="42" spans="1:18" x14ac:dyDescent="0.3">
      <c r="A42" s="40"/>
      <c r="B42" s="84" t="s">
        <v>134</v>
      </c>
      <c r="C42" s="84"/>
      <c r="D42" s="84" t="s">
        <v>132</v>
      </c>
      <c r="E42" s="84"/>
      <c r="F42" s="73"/>
      <c r="H42">
        <v>1</v>
      </c>
      <c r="I42">
        <v>2</v>
      </c>
      <c r="J42">
        <v>1</v>
      </c>
    </row>
    <row r="43" spans="1:18" x14ac:dyDescent="0.3">
      <c r="A43" s="82" t="s">
        <v>87</v>
      </c>
      <c r="B43" s="81">
        <f>B41*F39/F41</f>
        <v>5.126760563380282</v>
      </c>
      <c r="C43" s="81"/>
      <c r="D43" s="81">
        <f>D41*F39/F41</f>
        <v>20.87323943661972</v>
      </c>
      <c r="E43" s="81"/>
      <c r="F43" s="73"/>
      <c r="H43">
        <v>2</v>
      </c>
      <c r="I43">
        <v>1</v>
      </c>
      <c r="J43">
        <v>1</v>
      </c>
    </row>
    <row r="44" spans="1:18" x14ac:dyDescent="0.3">
      <c r="A44" s="82" t="s">
        <v>119</v>
      </c>
      <c r="B44" s="81">
        <f>B41*F40/F41</f>
        <v>8.873239436619718</v>
      </c>
      <c r="C44" s="81"/>
      <c r="D44" s="81">
        <f>D41*F40/F41</f>
        <v>36.12676056338028</v>
      </c>
      <c r="E44" s="81"/>
      <c r="F44" s="73"/>
      <c r="H44">
        <v>1</v>
      </c>
      <c r="I44">
        <v>2</v>
      </c>
      <c r="J44">
        <v>2</v>
      </c>
    </row>
    <row r="45" spans="1:18" x14ac:dyDescent="0.3">
      <c r="A45" s="88"/>
      <c r="B45" s="88"/>
      <c r="C45" s="88"/>
      <c r="D45" s="88"/>
      <c r="E45" s="88"/>
      <c r="F45" s="73"/>
      <c r="H45">
        <v>2</v>
      </c>
      <c r="I45">
        <v>1</v>
      </c>
      <c r="J45">
        <v>2</v>
      </c>
    </row>
    <row r="46" spans="1:18" x14ac:dyDescent="0.3">
      <c r="A46" s="88" t="s">
        <v>135</v>
      </c>
      <c r="B46" s="89">
        <f>CHITEST(B39:E40,B43:E44)</f>
        <v>0.92180637569378332</v>
      </c>
      <c r="C46" s="88"/>
      <c r="D46" s="88"/>
      <c r="E46" s="88"/>
      <c r="F46" s="73"/>
      <c r="H46">
        <v>1</v>
      </c>
      <c r="I46">
        <v>1</v>
      </c>
    </row>
    <row r="47" spans="1:18" x14ac:dyDescent="0.3">
      <c r="H47">
        <v>2</v>
      </c>
      <c r="I47">
        <v>2</v>
      </c>
    </row>
    <row r="48" spans="1:18" x14ac:dyDescent="0.3">
      <c r="H48">
        <v>1</v>
      </c>
      <c r="I48">
        <v>1</v>
      </c>
    </row>
  </sheetData>
  <mergeCells count="42">
    <mergeCell ref="B44:C44"/>
    <mergeCell ref="D44:E44"/>
    <mergeCell ref="B41:C41"/>
    <mergeCell ref="D41:E41"/>
    <mergeCell ref="B42:C42"/>
    <mergeCell ref="D42:E42"/>
    <mergeCell ref="B43:C43"/>
    <mergeCell ref="D43:E43"/>
    <mergeCell ref="B38:C38"/>
    <mergeCell ref="D38:E38"/>
    <mergeCell ref="B39:C39"/>
    <mergeCell ref="D39:E39"/>
    <mergeCell ref="B40:C40"/>
    <mergeCell ref="D40:E40"/>
    <mergeCell ref="B34:C34"/>
    <mergeCell ref="D34:E34"/>
    <mergeCell ref="B35:C35"/>
    <mergeCell ref="D35:E35"/>
    <mergeCell ref="A32:A33"/>
    <mergeCell ref="B32:C33"/>
    <mergeCell ref="D32:E33"/>
    <mergeCell ref="F32:F33"/>
    <mergeCell ref="G32:G33"/>
    <mergeCell ref="N18:N20"/>
    <mergeCell ref="O23:Q23"/>
    <mergeCell ref="N24:N26"/>
    <mergeCell ref="O29:Q29"/>
    <mergeCell ref="N30:N32"/>
    <mergeCell ref="O5:Q5"/>
    <mergeCell ref="N6:N8"/>
    <mergeCell ref="O11:Q11"/>
    <mergeCell ref="N12:N14"/>
    <mergeCell ref="O17:Q17"/>
    <mergeCell ref="B1:D1"/>
    <mergeCell ref="A2:A4"/>
    <mergeCell ref="E10:F12"/>
    <mergeCell ref="A18:A21"/>
    <mergeCell ref="B18:B21"/>
    <mergeCell ref="C18:C21"/>
    <mergeCell ref="D18:D21"/>
    <mergeCell ref="E18:E21"/>
    <mergeCell ref="F18:F21"/>
  </mergeCells>
  <conditionalFormatting sqref="H5:L48">
    <cfRule type="cellIs" dxfId="105" priority="5" operator="equal">
      <formula>1</formula>
    </cfRule>
    <cfRule type="cellIs" dxfId="104" priority="6" operator="equal">
      <formula>2</formula>
    </cfRule>
  </conditionalFormatting>
  <conditionalFormatting sqref="A43:B44 A45:E46 D42:D44 B42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1</formula>
    </cfRule>
    <cfRule type="cellIs" dxfId="0" priority="4" operator="equal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61BC-9AF0-4FA4-8647-47333CB8A34C}">
  <dimension ref="A1:AG61"/>
  <sheetViews>
    <sheetView topLeftCell="A25" workbookViewId="0">
      <selection activeCell="D48" sqref="D48"/>
    </sheetView>
  </sheetViews>
  <sheetFormatPr defaultRowHeight="14.4" x14ac:dyDescent="0.3"/>
  <cols>
    <col min="3" max="3" width="10.109375" customWidth="1"/>
    <col min="31" max="31" width="13.5546875" bestFit="1" customWidth="1"/>
  </cols>
  <sheetData>
    <row r="1" spans="1:33" x14ac:dyDescent="0.3">
      <c r="A1" s="5"/>
      <c r="B1" s="53" t="s">
        <v>90</v>
      </c>
      <c r="C1" s="53"/>
      <c r="D1" s="53"/>
      <c r="E1" s="5"/>
      <c r="H1">
        <v>1</v>
      </c>
      <c r="I1">
        <v>2</v>
      </c>
      <c r="J1">
        <v>1</v>
      </c>
      <c r="K1">
        <v>2</v>
      </c>
      <c r="L1">
        <v>2</v>
      </c>
      <c r="N1" s="5" t="s">
        <v>113</v>
      </c>
      <c r="O1" s="53" t="s">
        <v>90</v>
      </c>
      <c r="P1" s="53"/>
      <c r="Q1" s="53"/>
      <c r="R1" s="5"/>
      <c r="T1" s="9" t="s">
        <v>83</v>
      </c>
      <c r="U1" s="9" t="s">
        <v>84</v>
      </c>
      <c r="V1" s="9" t="s">
        <v>85</v>
      </c>
      <c r="W1" s="9" t="s">
        <v>86</v>
      </c>
      <c r="Y1" s="5" t="s">
        <v>113</v>
      </c>
      <c r="Z1" s="53" t="s">
        <v>132</v>
      </c>
      <c r="AA1" s="53"/>
      <c r="AB1" s="53"/>
      <c r="AC1" s="5"/>
      <c r="AE1">
        <f>CHITEST(P3:Q4,AA3:AB4)</f>
        <v>5.2404225002435263E-4</v>
      </c>
      <c r="AF1" s="50" t="s">
        <v>133</v>
      </c>
      <c r="AG1">
        <f>((P3-AA3)^2/AA3)+((Q3-AB3)^2/AB3)+((P4-AA4)^2/AA4)+((Q4-AB4)^2/AB4)</f>
        <v>12.028108641975306</v>
      </c>
    </row>
    <row r="2" spans="1:33" x14ac:dyDescent="0.3">
      <c r="A2" s="53" t="s">
        <v>89</v>
      </c>
      <c r="B2" s="5"/>
      <c r="C2" s="5" t="s">
        <v>87</v>
      </c>
      <c r="D2" s="5" t="s">
        <v>8</v>
      </c>
      <c r="E2" s="5" t="s">
        <v>88</v>
      </c>
      <c r="H2">
        <v>1</v>
      </c>
      <c r="I2">
        <v>1</v>
      </c>
      <c r="J2">
        <v>2</v>
      </c>
      <c r="K2">
        <v>2</v>
      </c>
      <c r="L2">
        <v>1</v>
      </c>
      <c r="N2" s="53" t="s">
        <v>89</v>
      </c>
      <c r="O2" s="5"/>
      <c r="P2" s="5" t="s">
        <v>87</v>
      </c>
      <c r="Q2" s="5" t="s">
        <v>8</v>
      </c>
      <c r="R2" s="5" t="s">
        <v>88</v>
      </c>
      <c r="T2" s="41">
        <f>P3/(P3+Q3)</f>
        <v>0.36</v>
      </c>
      <c r="U2" s="41">
        <f>1-T2</f>
        <v>0.64</v>
      </c>
      <c r="V2" s="41">
        <f>Q4/(Q4+P4)</f>
        <v>0.1111111111111111</v>
      </c>
      <c r="W2" s="41">
        <f>1-V2</f>
        <v>0.88888888888888884</v>
      </c>
      <c r="Y2" s="53" t="s">
        <v>89</v>
      </c>
      <c r="Z2" s="5"/>
      <c r="AA2" s="5" t="s">
        <v>87</v>
      </c>
      <c r="AB2" s="5" t="s">
        <v>8</v>
      </c>
      <c r="AC2" s="5" t="s">
        <v>88</v>
      </c>
    </row>
    <row r="3" spans="1:33" x14ac:dyDescent="0.3">
      <c r="A3" s="53"/>
      <c r="B3" s="5" t="s">
        <v>87</v>
      </c>
      <c r="C3" s="7">
        <v>39</v>
      </c>
      <c r="D3" s="7">
        <v>71</v>
      </c>
      <c r="E3" s="7">
        <f>C3+D3</f>
        <v>110</v>
      </c>
      <c r="H3">
        <v>2</v>
      </c>
      <c r="I3">
        <v>1</v>
      </c>
      <c r="J3">
        <v>1</v>
      </c>
      <c r="K3">
        <v>1</v>
      </c>
      <c r="L3">
        <v>2</v>
      </c>
      <c r="N3" s="53"/>
      <c r="O3" s="5" t="s">
        <v>87</v>
      </c>
      <c r="P3" s="7">
        <v>9</v>
      </c>
      <c r="Q3" s="7">
        <v>16</v>
      </c>
      <c r="R3" s="7">
        <f>P3+Q3</f>
        <v>25</v>
      </c>
      <c r="T3" t="s">
        <v>116</v>
      </c>
      <c r="Y3" s="53"/>
      <c r="Z3" s="5" t="s">
        <v>87</v>
      </c>
      <c r="AA3" s="7">
        <f>P5*R3/R5</f>
        <v>14.534883720930232</v>
      </c>
      <c r="AB3" s="7">
        <f>Q5*R3/R5</f>
        <v>10.465116279069768</v>
      </c>
      <c r="AC3" s="7">
        <f>AA3+AB3</f>
        <v>25</v>
      </c>
    </row>
    <row r="4" spans="1:33" x14ac:dyDescent="0.3">
      <c r="A4" s="53"/>
      <c r="B4" s="5" t="s">
        <v>8</v>
      </c>
      <c r="C4" s="7">
        <v>72</v>
      </c>
      <c r="D4" s="7">
        <v>20</v>
      </c>
      <c r="E4" s="7">
        <f>C4+D4</f>
        <v>92</v>
      </c>
      <c r="H4">
        <v>1</v>
      </c>
      <c r="I4">
        <v>1</v>
      </c>
      <c r="J4">
        <v>2</v>
      </c>
      <c r="K4">
        <v>1</v>
      </c>
      <c r="L4">
        <v>1</v>
      </c>
      <c r="N4" s="53"/>
      <c r="O4" s="5" t="s">
        <v>8</v>
      </c>
      <c r="P4" s="7">
        <v>16</v>
      </c>
      <c r="Q4" s="7">
        <v>2</v>
      </c>
      <c r="R4" s="7">
        <f>P4+Q4</f>
        <v>18</v>
      </c>
      <c r="Y4" s="53"/>
      <c r="Z4" s="5" t="s">
        <v>8</v>
      </c>
      <c r="AA4" s="7">
        <f>P5*R4/R5</f>
        <v>10.465116279069768</v>
      </c>
      <c r="AB4" s="7">
        <f>Q5*R4/R5</f>
        <v>7.5348837209302326</v>
      </c>
      <c r="AC4" s="7">
        <f>AA4+AB4</f>
        <v>18</v>
      </c>
    </row>
    <row r="5" spans="1:33" x14ac:dyDescent="0.3">
      <c r="A5" s="5" t="s">
        <v>88</v>
      </c>
      <c r="B5" s="5"/>
      <c r="C5" s="7">
        <f>C3+C4</f>
        <v>111</v>
      </c>
      <c r="D5" s="7">
        <f>D3+D4</f>
        <v>91</v>
      </c>
      <c r="E5" s="7">
        <f>E3+E4</f>
        <v>202</v>
      </c>
      <c r="H5">
        <v>2</v>
      </c>
      <c r="I5">
        <v>2</v>
      </c>
      <c r="J5">
        <v>2</v>
      </c>
      <c r="K5">
        <v>2</v>
      </c>
      <c r="L5">
        <v>2</v>
      </c>
      <c r="N5" s="5" t="s">
        <v>88</v>
      </c>
      <c r="O5" s="5"/>
      <c r="P5" s="7">
        <f>P3+P4</f>
        <v>25</v>
      </c>
      <c r="Q5" s="7">
        <f>Q3+Q4</f>
        <v>18</v>
      </c>
      <c r="R5" s="7">
        <f>R3+R4</f>
        <v>43</v>
      </c>
      <c r="Y5" s="5" t="s">
        <v>88</v>
      </c>
      <c r="Z5" s="5"/>
      <c r="AA5" s="7">
        <f>AA3+AA4</f>
        <v>25</v>
      </c>
      <c r="AB5" s="7">
        <f>AB3+AB4</f>
        <v>18</v>
      </c>
      <c r="AC5" s="7">
        <f>AC3+AC4</f>
        <v>43</v>
      </c>
    </row>
    <row r="6" spans="1:33" x14ac:dyDescent="0.3">
      <c r="H6">
        <v>1</v>
      </c>
      <c r="I6">
        <v>1</v>
      </c>
      <c r="J6">
        <v>2</v>
      </c>
      <c r="K6">
        <v>1</v>
      </c>
      <c r="L6">
        <v>1</v>
      </c>
    </row>
    <row r="7" spans="1:33" ht="14.4" customHeight="1" x14ac:dyDescent="0.3">
      <c r="A7" s="9" t="s">
        <v>83</v>
      </c>
      <c r="B7" s="9" t="s">
        <v>84</v>
      </c>
      <c r="C7" s="9" t="s">
        <v>85</v>
      </c>
      <c r="D7" s="9" t="s">
        <v>86</v>
      </c>
      <c r="E7" s="59" t="s">
        <v>106</v>
      </c>
      <c r="F7" s="59"/>
      <c r="H7">
        <v>2</v>
      </c>
      <c r="I7">
        <v>2</v>
      </c>
      <c r="J7">
        <v>1</v>
      </c>
      <c r="K7">
        <v>2</v>
      </c>
      <c r="L7">
        <v>2</v>
      </c>
      <c r="N7" s="5" t="s">
        <v>114</v>
      </c>
      <c r="O7" s="53" t="s">
        <v>90</v>
      </c>
      <c r="P7" s="53"/>
      <c r="Q7" s="53"/>
      <c r="R7" s="5"/>
      <c r="T7" s="9" t="s">
        <v>83</v>
      </c>
      <c r="U7" s="9" t="s">
        <v>84</v>
      </c>
      <c r="V7" s="9" t="s">
        <v>85</v>
      </c>
      <c r="W7" s="9" t="s">
        <v>86</v>
      </c>
      <c r="Y7" s="5" t="s">
        <v>114</v>
      </c>
      <c r="Z7" s="53" t="s">
        <v>132</v>
      </c>
      <c r="AA7" s="53"/>
      <c r="AB7" s="53"/>
      <c r="AC7" s="5"/>
      <c r="AE7">
        <f>_xlfn.CHISQ.TEST(P9:Q10,AA9:AB10)</f>
        <v>7.6607611351794712E-3</v>
      </c>
    </row>
    <row r="8" spans="1:33" x14ac:dyDescent="0.3">
      <c r="A8" s="41">
        <f>C3/C5</f>
        <v>0.35135135135135137</v>
      </c>
      <c r="B8" s="41">
        <f>1-A8</f>
        <v>0.64864864864864868</v>
      </c>
      <c r="C8" s="41">
        <f>D4/E4</f>
        <v>0.21739130434782608</v>
      </c>
      <c r="D8" s="41">
        <f>1-C8</f>
        <v>0.78260869565217395</v>
      </c>
      <c r="E8" s="59"/>
      <c r="F8" s="59"/>
      <c r="H8">
        <v>2</v>
      </c>
      <c r="I8">
        <v>1</v>
      </c>
      <c r="J8">
        <v>2</v>
      </c>
      <c r="K8">
        <v>1</v>
      </c>
      <c r="L8">
        <v>1</v>
      </c>
      <c r="N8" s="53" t="s">
        <v>89</v>
      </c>
      <c r="O8" s="5"/>
      <c r="P8" s="5" t="s">
        <v>87</v>
      </c>
      <c r="Q8" s="5" t="s">
        <v>8</v>
      </c>
      <c r="R8" s="5" t="s">
        <v>88</v>
      </c>
      <c r="T8" s="41">
        <f>P9/(P9+Q9)</f>
        <v>0.45833333333333331</v>
      </c>
      <c r="U8" s="41">
        <f>1-T8</f>
        <v>0.54166666666666674</v>
      </c>
      <c r="V8" s="41">
        <f>Q10/(Q10+P10)</f>
        <v>0.125</v>
      </c>
      <c r="W8" s="41">
        <f>1-V8</f>
        <v>0.875</v>
      </c>
      <c r="Y8" s="53" t="s">
        <v>89</v>
      </c>
      <c r="Z8" s="5"/>
      <c r="AA8" s="5" t="s">
        <v>87</v>
      </c>
      <c r="AB8" s="5" t="s">
        <v>8</v>
      </c>
      <c r="AC8" s="5" t="s">
        <v>88</v>
      </c>
    </row>
    <row r="9" spans="1:33" x14ac:dyDescent="0.3">
      <c r="A9" s="4"/>
      <c r="B9" s="8"/>
      <c r="H9">
        <v>1</v>
      </c>
      <c r="I9">
        <v>1</v>
      </c>
      <c r="J9">
        <v>1</v>
      </c>
      <c r="K9">
        <v>2</v>
      </c>
      <c r="L9">
        <v>1</v>
      </c>
      <c r="N9" s="53"/>
      <c r="O9" s="5" t="s">
        <v>87</v>
      </c>
      <c r="P9" s="7">
        <v>11</v>
      </c>
      <c r="Q9" s="7">
        <v>13</v>
      </c>
      <c r="R9" s="7">
        <f>P9+Q9</f>
        <v>24</v>
      </c>
      <c r="Y9" s="53"/>
      <c r="Z9" s="5" t="s">
        <v>87</v>
      </c>
      <c r="AA9" s="7">
        <f>P11*R9/R11</f>
        <v>15</v>
      </c>
      <c r="AB9" s="7">
        <f>Q11*R9/R11</f>
        <v>9</v>
      </c>
      <c r="AC9" s="7">
        <f>AA9+AB9</f>
        <v>24</v>
      </c>
    </row>
    <row r="10" spans="1:33" ht="14.4" customHeight="1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1</v>
      </c>
      <c r="I10">
        <v>2</v>
      </c>
      <c r="J10">
        <v>2</v>
      </c>
      <c r="K10">
        <v>1</v>
      </c>
      <c r="L10">
        <v>2</v>
      </c>
      <c r="N10" s="53"/>
      <c r="O10" s="5" t="s">
        <v>8</v>
      </c>
      <c r="P10" s="7">
        <v>14</v>
      </c>
      <c r="Q10" s="7">
        <v>2</v>
      </c>
      <c r="R10" s="7">
        <f>P10+Q10</f>
        <v>16</v>
      </c>
      <c r="Y10" s="53"/>
      <c r="Z10" s="5" t="s">
        <v>8</v>
      </c>
      <c r="AA10" s="7">
        <f>P11*R10/R11</f>
        <v>10</v>
      </c>
      <c r="AB10" s="7">
        <f>Q11*R10/R11</f>
        <v>6</v>
      </c>
      <c r="AC10" s="7">
        <f>AA10+AB10</f>
        <v>16</v>
      </c>
    </row>
    <row r="11" spans="1:33" x14ac:dyDescent="0.3">
      <c r="A11" s="43">
        <f>C3/E3</f>
        <v>0.35454545454545455</v>
      </c>
      <c r="B11" s="43">
        <f>1-A11</f>
        <v>0.6454545454545455</v>
      </c>
      <c r="C11" s="43">
        <f>D4/E4</f>
        <v>0.21739130434782608</v>
      </c>
      <c r="D11" s="43">
        <f>1-C11</f>
        <v>0.78260869565217395</v>
      </c>
      <c r="E11" s="59"/>
      <c r="F11" s="59"/>
      <c r="H11">
        <v>2</v>
      </c>
      <c r="I11">
        <v>2</v>
      </c>
      <c r="J11">
        <v>1</v>
      </c>
      <c r="K11">
        <v>2</v>
      </c>
      <c r="L11">
        <v>1</v>
      </c>
      <c r="N11" s="5" t="s">
        <v>88</v>
      </c>
      <c r="O11" s="5"/>
      <c r="P11" s="7">
        <f>P9+P10</f>
        <v>25</v>
      </c>
      <c r="Q11" s="7">
        <f>Q9+Q10</f>
        <v>15</v>
      </c>
      <c r="R11" s="7">
        <f>R9+R10</f>
        <v>40</v>
      </c>
      <c r="Y11" s="5" t="s">
        <v>88</v>
      </c>
      <c r="Z11" s="5"/>
      <c r="AA11" s="7">
        <f>AA9+AA10</f>
        <v>25</v>
      </c>
      <c r="AB11" s="7">
        <f>AB9+AB10</f>
        <v>15</v>
      </c>
      <c r="AC11" s="7">
        <f>AC9+AC10</f>
        <v>40</v>
      </c>
    </row>
    <row r="12" spans="1:33" x14ac:dyDescent="0.3">
      <c r="E12" s="59"/>
      <c r="F12" s="59"/>
      <c r="H12">
        <v>1</v>
      </c>
      <c r="I12">
        <v>1</v>
      </c>
      <c r="J12">
        <v>1</v>
      </c>
      <c r="K12">
        <v>1</v>
      </c>
      <c r="L12">
        <v>1</v>
      </c>
    </row>
    <row r="13" spans="1:33" x14ac:dyDescent="0.3">
      <c r="H13">
        <v>1</v>
      </c>
      <c r="I13">
        <v>1</v>
      </c>
      <c r="J13">
        <v>2</v>
      </c>
      <c r="K13">
        <v>2</v>
      </c>
      <c r="L13">
        <v>2</v>
      </c>
      <c r="N13" s="5" t="s">
        <v>115</v>
      </c>
      <c r="O13" s="53" t="s">
        <v>90</v>
      </c>
      <c r="P13" s="53"/>
      <c r="Q13" s="53"/>
      <c r="R13" s="5"/>
      <c r="T13" s="9" t="s">
        <v>83</v>
      </c>
      <c r="U13" s="9" t="s">
        <v>84</v>
      </c>
      <c r="V13" s="9" t="s">
        <v>85</v>
      </c>
      <c r="W13" s="9" t="s">
        <v>86</v>
      </c>
    </row>
    <row r="14" spans="1:33" x14ac:dyDescent="0.3">
      <c r="H14">
        <v>2</v>
      </c>
      <c r="I14">
        <v>2</v>
      </c>
      <c r="J14">
        <v>1</v>
      </c>
      <c r="K14">
        <v>1</v>
      </c>
      <c r="L14">
        <v>1</v>
      </c>
      <c r="N14" s="53" t="s">
        <v>89</v>
      </c>
      <c r="O14" s="5"/>
      <c r="P14" s="5" t="s">
        <v>87</v>
      </c>
      <c r="Q14" s="5" t="s">
        <v>8</v>
      </c>
      <c r="R14" s="5" t="s">
        <v>88</v>
      </c>
      <c r="T14" s="41">
        <f>P15/(P15+Q15)</f>
        <v>0.29166666666666669</v>
      </c>
      <c r="U14" s="41">
        <f>1-T14</f>
        <v>0.70833333333333326</v>
      </c>
      <c r="V14" s="41">
        <f>Q16/(Q16+P16)</f>
        <v>0.33333333333333331</v>
      </c>
      <c r="W14" s="41">
        <f>1-V14</f>
        <v>0.66666666666666674</v>
      </c>
    </row>
    <row r="15" spans="1:33" x14ac:dyDescent="0.3">
      <c r="H15">
        <v>1</v>
      </c>
      <c r="I15">
        <v>1</v>
      </c>
      <c r="J15">
        <v>1</v>
      </c>
      <c r="K15">
        <v>2</v>
      </c>
      <c r="L15">
        <v>1</v>
      </c>
      <c r="N15" s="53"/>
      <c r="O15" s="5" t="s">
        <v>87</v>
      </c>
      <c r="P15" s="7">
        <v>7</v>
      </c>
      <c r="Q15" s="7">
        <v>17</v>
      </c>
      <c r="R15" s="7">
        <f>P15+Q15</f>
        <v>24</v>
      </c>
    </row>
    <row r="16" spans="1:33" x14ac:dyDescent="0.3">
      <c r="H16">
        <v>2</v>
      </c>
      <c r="I16">
        <v>2</v>
      </c>
      <c r="J16">
        <v>1</v>
      </c>
      <c r="K16">
        <v>1</v>
      </c>
      <c r="L16">
        <v>1</v>
      </c>
      <c r="N16" s="53"/>
      <c r="O16" s="5" t="s">
        <v>8</v>
      </c>
      <c r="P16" s="7">
        <v>16</v>
      </c>
      <c r="Q16" s="7">
        <v>8</v>
      </c>
      <c r="R16" s="7">
        <f>P16+Q16</f>
        <v>24</v>
      </c>
    </row>
    <row r="17" spans="1:23" x14ac:dyDescent="0.3">
      <c r="H17">
        <v>2</v>
      </c>
      <c r="I17">
        <v>1</v>
      </c>
      <c r="J17">
        <v>1</v>
      </c>
      <c r="K17">
        <v>1</v>
      </c>
      <c r="L17">
        <v>1</v>
      </c>
      <c r="N17" s="5" t="s">
        <v>88</v>
      </c>
      <c r="O17" s="5"/>
      <c r="P17" s="7">
        <f>P15+P16</f>
        <v>23</v>
      </c>
      <c r="Q17" s="7">
        <f>Q15+Q16</f>
        <v>25</v>
      </c>
      <c r="R17" s="7">
        <f>R15+R16</f>
        <v>48</v>
      </c>
    </row>
    <row r="18" spans="1:23" ht="14.4" customHeight="1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1</v>
      </c>
      <c r="I18">
        <v>2</v>
      </c>
      <c r="J18">
        <v>2</v>
      </c>
      <c r="K18">
        <v>2</v>
      </c>
      <c r="L18">
        <v>1</v>
      </c>
    </row>
    <row r="19" spans="1:23" x14ac:dyDescent="0.3">
      <c r="A19" s="54"/>
      <c r="B19" s="54"/>
      <c r="C19" s="69"/>
      <c r="D19" s="54"/>
      <c r="E19" s="54"/>
      <c r="F19" s="54"/>
      <c r="H19">
        <v>2</v>
      </c>
      <c r="I19">
        <v>1</v>
      </c>
      <c r="J19">
        <v>2</v>
      </c>
      <c r="K19">
        <v>2</v>
      </c>
      <c r="L19">
        <v>2</v>
      </c>
      <c r="N19" s="5" t="s">
        <v>117</v>
      </c>
      <c r="O19" s="53" t="s">
        <v>90</v>
      </c>
      <c r="P19" s="53"/>
      <c r="Q19" s="53"/>
      <c r="R19" s="5"/>
      <c r="T19" s="9" t="s">
        <v>83</v>
      </c>
      <c r="U19" s="9" t="s">
        <v>84</v>
      </c>
      <c r="V19" s="9" t="s">
        <v>85</v>
      </c>
      <c r="W19" s="9" t="s">
        <v>86</v>
      </c>
    </row>
    <row r="20" spans="1:23" x14ac:dyDescent="0.3">
      <c r="A20" s="54"/>
      <c r="B20" s="54"/>
      <c r="C20" s="69"/>
      <c r="D20" s="54"/>
      <c r="E20" s="54"/>
      <c r="F20" s="54"/>
      <c r="H20">
        <v>1</v>
      </c>
      <c r="I20">
        <v>1</v>
      </c>
      <c r="J20">
        <v>1</v>
      </c>
      <c r="K20">
        <v>2</v>
      </c>
      <c r="L20">
        <v>1</v>
      </c>
      <c r="N20" s="53" t="s">
        <v>89</v>
      </c>
      <c r="O20" s="5"/>
      <c r="P20" s="5" t="s">
        <v>87</v>
      </c>
      <c r="Q20" s="5" t="s">
        <v>8</v>
      </c>
      <c r="R20" s="5" t="s">
        <v>88</v>
      </c>
      <c r="T20" s="41">
        <f>P21/(P21+Q21)</f>
        <v>0.2608695652173913</v>
      </c>
      <c r="U20" s="41">
        <f>1-T20</f>
        <v>0.73913043478260865</v>
      </c>
      <c r="V20" s="40">
        <f>Q22/(Q22+P22)</f>
        <v>0.32</v>
      </c>
      <c r="W20" s="40">
        <f>1-V20</f>
        <v>0.67999999999999994</v>
      </c>
    </row>
    <row r="21" spans="1:23" x14ac:dyDescent="0.3">
      <c r="A21" s="54"/>
      <c r="B21" s="54"/>
      <c r="C21" s="70"/>
      <c r="D21" s="54"/>
      <c r="E21" s="54"/>
      <c r="F21" s="54"/>
      <c r="H21">
        <v>2</v>
      </c>
      <c r="I21">
        <v>1</v>
      </c>
      <c r="J21">
        <v>2</v>
      </c>
      <c r="K21">
        <v>1</v>
      </c>
      <c r="L21">
        <v>2</v>
      </c>
      <c r="N21" s="53"/>
      <c r="O21" s="5" t="s">
        <v>87</v>
      </c>
      <c r="P21" s="7">
        <v>6</v>
      </c>
      <c r="Q21" s="7">
        <v>17</v>
      </c>
      <c r="R21" s="7">
        <f>P21+Q21</f>
        <v>23</v>
      </c>
    </row>
    <row r="22" spans="1:23" x14ac:dyDescent="0.3">
      <c r="A22" s="37">
        <v>1</v>
      </c>
      <c r="B22" s="37">
        <v>105</v>
      </c>
      <c r="C22" s="40">
        <f>($C$4*$D$11*$A$11^0)+($D$3*$B$11*$C$11^0)</f>
        <v>102.17509881422924</v>
      </c>
      <c r="D22" s="37">
        <v>106.57</v>
      </c>
      <c r="E22" s="5" t="s">
        <v>125</v>
      </c>
      <c r="F22" s="5" t="s">
        <v>125</v>
      </c>
      <c r="H22">
        <v>1</v>
      </c>
      <c r="I22">
        <v>1</v>
      </c>
      <c r="J22">
        <v>1</v>
      </c>
      <c r="K22">
        <v>1</v>
      </c>
      <c r="L22">
        <v>1</v>
      </c>
      <c r="N22" s="53"/>
      <c r="O22" s="5" t="s">
        <v>8</v>
      </c>
      <c r="P22" s="7">
        <v>17</v>
      </c>
      <c r="Q22" s="7">
        <v>8</v>
      </c>
      <c r="R22" s="7">
        <f>P22+Q22</f>
        <v>25</v>
      </c>
    </row>
    <row r="23" spans="1:23" x14ac:dyDescent="0.3">
      <c r="A23" s="37">
        <v>2</v>
      </c>
      <c r="B23" s="37">
        <v>28</v>
      </c>
      <c r="C23" s="40">
        <f>($C$4*$D$11*$A$11^1)+($D$3*$B$11*$C$11^1)</f>
        <v>29.940316205533598</v>
      </c>
      <c r="D23" s="37">
        <v>27.291</v>
      </c>
      <c r="E23" s="5" t="s">
        <v>125</v>
      </c>
      <c r="F23" s="5" t="s">
        <v>125</v>
      </c>
      <c r="H23">
        <v>2</v>
      </c>
      <c r="I23">
        <v>2</v>
      </c>
      <c r="J23">
        <v>2</v>
      </c>
      <c r="K23">
        <v>2</v>
      </c>
      <c r="L23">
        <v>2</v>
      </c>
      <c r="N23" s="5" t="s">
        <v>88</v>
      </c>
      <c r="O23" s="5"/>
      <c r="P23" s="7">
        <f>P21+P22</f>
        <v>23</v>
      </c>
      <c r="Q23" s="7">
        <f>Q21+Q22</f>
        <v>25</v>
      </c>
      <c r="R23" s="7">
        <f>R21+R22</f>
        <v>48</v>
      </c>
    </row>
    <row r="24" spans="1:23" x14ac:dyDescent="0.3">
      <c r="A24" s="37">
        <v>3</v>
      </c>
      <c r="B24" s="37">
        <v>8</v>
      </c>
      <c r="C24" s="40">
        <f>($C$4*$D$11*$A$11^2)+($D$3*$B$11*$C$11^2)</f>
        <v>9.248811573372496</v>
      </c>
      <c r="D24" s="37">
        <v>8.0549999999999997</v>
      </c>
      <c r="E24" s="37">
        <v>3</v>
      </c>
      <c r="F24" s="5">
        <v>5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23" x14ac:dyDescent="0.3">
      <c r="A25" s="37">
        <v>4</v>
      </c>
      <c r="B25" s="37">
        <v>3</v>
      </c>
      <c r="C25" s="40">
        <f>($C$4*$D$11*$A$11^3)+($D$3*$B$11*$C$11^3)</f>
        <v>2.982082484818557</v>
      </c>
      <c r="D25" s="37">
        <v>2.62</v>
      </c>
      <c r="E25" s="5">
        <v>3</v>
      </c>
      <c r="F25" s="5">
        <v>0</v>
      </c>
      <c r="H25">
        <v>1</v>
      </c>
      <c r="I25">
        <v>2</v>
      </c>
      <c r="J25">
        <v>2</v>
      </c>
      <c r="K25">
        <v>2</v>
      </c>
      <c r="N25" s="5" t="s">
        <v>118</v>
      </c>
      <c r="O25" s="53" t="s">
        <v>90</v>
      </c>
      <c r="P25" s="53"/>
      <c r="Q25" s="53"/>
      <c r="R25" s="5"/>
      <c r="T25" s="9" t="s">
        <v>83</v>
      </c>
      <c r="U25" s="9" t="s">
        <v>84</v>
      </c>
      <c r="V25" s="9" t="s">
        <v>85</v>
      </c>
      <c r="W25" s="9" t="s">
        <v>86</v>
      </c>
    </row>
    <row r="26" spans="1:23" x14ac:dyDescent="0.3">
      <c r="A26" s="37">
        <v>5</v>
      </c>
      <c r="B26" s="37">
        <v>1</v>
      </c>
      <c r="C26" s="40">
        <f>($C$4*$D$11*$A$11^4)+($D$3*$B$11*$C$11^4)</f>
        <v>0.99270952518767419</v>
      </c>
      <c r="D26" s="37">
        <v>0.79400000000000004</v>
      </c>
      <c r="E26" s="5">
        <v>1</v>
      </c>
      <c r="F26" s="5">
        <v>0</v>
      </c>
      <c r="H26">
        <v>2</v>
      </c>
      <c r="I26">
        <v>1</v>
      </c>
      <c r="J26">
        <v>2</v>
      </c>
      <c r="K26">
        <v>2</v>
      </c>
      <c r="N26" s="53" t="s">
        <v>89</v>
      </c>
      <c r="O26" s="5"/>
      <c r="P26" s="5" t="s">
        <v>87</v>
      </c>
      <c r="Q26" s="5" t="s">
        <v>8</v>
      </c>
      <c r="R26" s="5" t="s">
        <v>88</v>
      </c>
      <c r="T26" s="41">
        <f>P27/(P27+Q27)</f>
        <v>0.42857142857142855</v>
      </c>
      <c r="U26" s="41">
        <f>1-T26</f>
        <v>0.5714285714285714</v>
      </c>
      <c r="V26" s="40">
        <f>Q28/(Q28+P28)</f>
        <v>0</v>
      </c>
      <c r="W26" s="40">
        <f>1-V26</f>
        <v>1</v>
      </c>
    </row>
    <row r="27" spans="1:23" x14ac:dyDescent="0.3">
      <c r="A27" s="37">
        <v>6</v>
      </c>
      <c r="B27" s="37">
        <v>0</v>
      </c>
      <c r="C27" s="40">
        <f>($C$4*$D$11*$A$11^5)+($D$3*$B$11*$C$11^5)</f>
        <v>0.33792276616875327</v>
      </c>
      <c r="D27" s="37">
        <v>0.25900000000000001</v>
      </c>
      <c r="E27" s="5">
        <v>0</v>
      </c>
      <c r="F27" s="5">
        <v>0</v>
      </c>
      <c r="H27">
        <v>1</v>
      </c>
      <c r="I27">
        <v>2</v>
      </c>
      <c r="J27">
        <v>1</v>
      </c>
      <c r="K27">
        <v>1</v>
      </c>
      <c r="N27" s="53"/>
      <c r="O27" s="5" t="s">
        <v>87</v>
      </c>
      <c r="P27" s="7">
        <v>6</v>
      </c>
      <c r="Q27" s="7">
        <v>8</v>
      </c>
      <c r="R27" s="7">
        <f>P27+Q27</f>
        <v>14</v>
      </c>
    </row>
    <row r="28" spans="1:23" x14ac:dyDescent="0.3">
      <c r="A28" s="37">
        <v>7</v>
      </c>
      <c r="B28" s="37">
        <v>0</v>
      </c>
      <c r="C28" s="40">
        <f>($C$4*$D$11*$A$11^6)+($D$3*$B$11*$C$11^6)</f>
        <v>0.11675726689114213</v>
      </c>
      <c r="D28" s="37">
        <v>6.2E-2</v>
      </c>
      <c r="E28" s="5">
        <v>0</v>
      </c>
      <c r="F28" s="5">
        <v>0</v>
      </c>
      <c r="H28">
        <v>1</v>
      </c>
      <c r="I28">
        <v>2</v>
      </c>
      <c r="J28">
        <v>1</v>
      </c>
      <c r="K28">
        <v>2</v>
      </c>
      <c r="N28" s="53"/>
      <c r="O28" s="5" t="s">
        <v>8</v>
      </c>
      <c r="P28" s="7">
        <v>9</v>
      </c>
      <c r="Q28" s="7">
        <v>0</v>
      </c>
      <c r="R28" s="7">
        <f>P28+Q28</f>
        <v>9</v>
      </c>
    </row>
    <row r="29" spans="1:23" x14ac:dyDescent="0.3">
      <c r="A29" s="37">
        <v>8</v>
      </c>
      <c r="B29" s="37">
        <v>0</v>
      </c>
      <c r="C29" s="40">
        <f>($C$4*$D$11*$A$11^7)+($D$3*$B$11*$C$11^7)</f>
        <v>4.0732342208923217E-2</v>
      </c>
      <c r="D29" s="37">
        <v>1.9E-2</v>
      </c>
      <c r="E29" s="5">
        <v>0</v>
      </c>
      <c r="F29" s="5">
        <v>0</v>
      </c>
      <c r="H29">
        <v>2</v>
      </c>
      <c r="I29">
        <v>1</v>
      </c>
      <c r="J29">
        <v>2</v>
      </c>
      <c r="K29">
        <v>1</v>
      </c>
      <c r="N29" s="5" t="s">
        <v>88</v>
      </c>
      <c r="O29" s="5"/>
      <c r="P29" s="7">
        <f>P27+P28</f>
        <v>15</v>
      </c>
      <c r="Q29" s="7">
        <f>Q27+Q28</f>
        <v>8</v>
      </c>
      <c r="R29" s="7">
        <f>R27+R28</f>
        <v>23</v>
      </c>
    </row>
    <row r="30" spans="1:23" x14ac:dyDescent="0.3">
      <c r="A30" s="37" t="s">
        <v>103</v>
      </c>
      <c r="B30" s="37">
        <v>0</v>
      </c>
      <c r="C30" s="40">
        <f>($C$4*$D$11*$A$11^8)+($D$3*$B$11*$C$11^8)</f>
        <v>1.4297245902189408E-2</v>
      </c>
      <c r="D30" s="37">
        <v>0.01</v>
      </c>
      <c r="E30" s="5">
        <v>0</v>
      </c>
      <c r="F30" s="5">
        <v>0</v>
      </c>
      <c r="H30">
        <v>1</v>
      </c>
      <c r="I30">
        <v>1</v>
      </c>
      <c r="J30">
        <v>1</v>
      </c>
      <c r="K30">
        <v>2</v>
      </c>
    </row>
    <row r="31" spans="1:23" x14ac:dyDescent="0.3">
      <c r="H31">
        <v>2</v>
      </c>
      <c r="I31">
        <v>2</v>
      </c>
      <c r="J31">
        <v>1</v>
      </c>
      <c r="K31">
        <v>1</v>
      </c>
    </row>
    <row r="32" spans="1:23" ht="14.4" customHeight="1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1</v>
      </c>
      <c r="I32">
        <v>1</v>
      </c>
      <c r="J32">
        <v>2</v>
      </c>
      <c r="K32">
        <v>2</v>
      </c>
    </row>
    <row r="33" spans="1:11" x14ac:dyDescent="0.3">
      <c r="A33" s="53"/>
      <c r="B33" s="54"/>
      <c r="C33" s="54"/>
      <c r="D33" s="54"/>
      <c r="E33" s="54"/>
      <c r="F33" s="53"/>
      <c r="G33" s="53"/>
      <c r="H33">
        <v>2</v>
      </c>
      <c r="I33">
        <v>2</v>
      </c>
      <c r="J33">
        <v>1</v>
      </c>
      <c r="K33">
        <v>1</v>
      </c>
    </row>
    <row r="34" spans="1:11" x14ac:dyDescent="0.3">
      <c r="A34" s="5" t="s">
        <v>87</v>
      </c>
      <c r="B34" s="64">
        <f>E24+E25+E26+E27+E28+E29+E30</f>
        <v>7</v>
      </c>
      <c r="C34" s="65"/>
      <c r="D34" s="66">
        <f>E24*1+E25*2+E26*3+E27*4+E28*5+E29*6+E30*7</f>
        <v>12</v>
      </c>
      <c r="E34" s="67"/>
      <c r="F34" s="48">
        <f>B34/D34</f>
        <v>0.58333333333333337</v>
      </c>
      <c r="G34" s="49">
        <f>F34</f>
        <v>0.58333333333333337</v>
      </c>
      <c r="H34">
        <v>1</v>
      </c>
      <c r="I34">
        <v>1</v>
      </c>
      <c r="J34">
        <v>2</v>
      </c>
      <c r="K34">
        <v>1</v>
      </c>
    </row>
    <row r="35" spans="1:11" x14ac:dyDescent="0.3">
      <c r="A35" s="5" t="s">
        <v>8</v>
      </c>
      <c r="B35" s="64">
        <f>F24+F25+F26+F27+F28+F29+F30</f>
        <v>5</v>
      </c>
      <c r="C35" s="65"/>
      <c r="D35" s="66">
        <f>F24*1+F25*2+F26*3+F27*4+F28*5+F29*6+F30*7</f>
        <v>5</v>
      </c>
      <c r="E35" s="67"/>
      <c r="F35" s="48">
        <f>B35/D35</f>
        <v>1</v>
      </c>
      <c r="G35" s="49">
        <f>F35</f>
        <v>1</v>
      </c>
      <c r="H35">
        <v>1</v>
      </c>
      <c r="I35">
        <v>2</v>
      </c>
      <c r="J35">
        <v>1</v>
      </c>
      <c r="K35">
        <v>1</v>
      </c>
    </row>
    <row r="36" spans="1:11" x14ac:dyDescent="0.3">
      <c r="H36">
        <v>2</v>
      </c>
      <c r="I36">
        <v>1</v>
      </c>
      <c r="J36">
        <v>2</v>
      </c>
      <c r="K36">
        <v>2</v>
      </c>
    </row>
    <row r="37" spans="1:11" x14ac:dyDescent="0.3">
      <c r="H37">
        <v>1</v>
      </c>
      <c r="I37">
        <v>2</v>
      </c>
      <c r="J37">
        <v>1</v>
      </c>
      <c r="K37">
        <v>1</v>
      </c>
    </row>
    <row r="38" spans="1:11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1</v>
      </c>
      <c r="I38">
        <v>1</v>
      </c>
      <c r="J38">
        <v>2</v>
      </c>
      <c r="K38">
        <v>1</v>
      </c>
    </row>
    <row r="39" spans="1:11" x14ac:dyDescent="0.3">
      <c r="A39" s="80" t="s">
        <v>87</v>
      </c>
      <c r="B39" s="83">
        <v>7</v>
      </c>
      <c r="C39" s="83"/>
      <c r="D39" s="92">
        <v>39</v>
      </c>
      <c r="E39" s="92"/>
      <c r="F39" s="82">
        <f>SUM(B39+D39)</f>
        <v>46</v>
      </c>
      <c r="H39">
        <v>1</v>
      </c>
      <c r="I39">
        <v>1</v>
      </c>
      <c r="J39">
        <v>2</v>
      </c>
      <c r="K39">
        <v>2</v>
      </c>
    </row>
    <row r="40" spans="1:11" x14ac:dyDescent="0.3">
      <c r="A40" s="80" t="s">
        <v>8</v>
      </c>
      <c r="B40" s="83">
        <v>5</v>
      </c>
      <c r="C40" s="83"/>
      <c r="D40" s="92">
        <v>20</v>
      </c>
      <c r="E40" s="92"/>
      <c r="F40" s="82">
        <f>SUM(B40+D40)</f>
        <v>25</v>
      </c>
      <c r="H40">
        <v>2</v>
      </c>
      <c r="I40">
        <v>1</v>
      </c>
      <c r="J40">
        <v>1</v>
      </c>
      <c r="K40">
        <v>2</v>
      </c>
    </row>
    <row r="41" spans="1:11" x14ac:dyDescent="0.3">
      <c r="A41" s="85"/>
      <c r="B41" s="86">
        <f>SUM(B39:B40)</f>
        <v>12</v>
      </c>
      <c r="C41" s="86"/>
      <c r="D41" s="87">
        <f>SUM(D39:D40)</f>
        <v>59</v>
      </c>
      <c r="E41" s="87"/>
      <c r="F41" s="82">
        <f>SUM(F39:F40)</f>
        <v>71</v>
      </c>
      <c r="H41">
        <v>1</v>
      </c>
      <c r="I41">
        <v>1</v>
      </c>
      <c r="J41">
        <v>2</v>
      </c>
      <c r="K41">
        <v>2</v>
      </c>
    </row>
    <row r="42" spans="1:11" x14ac:dyDescent="0.3">
      <c r="A42" s="40"/>
      <c r="B42" s="84" t="s">
        <v>134</v>
      </c>
      <c r="C42" s="84"/>
      <c r="D42" s="84" t="s">
        <v>132</v>
      </c>
      <c r="E42" s="84"/>
      <c r="F42" s="73"/>
      <c r="H42">
        <v>2</v>
      </c>
      <c r="J42">
        <v>1</v>
      </c>
      <c r="K42">
        <v>1</v>
      </c>
    </row>
    <row r="43" spans="1:11" x14ac:dyDescent="0.3">
      <c r="A43" s="82" t="s">
        <v>87</v>
      </c>
      <c r="B43" s="81">
        <f>B41*F39/F41</f>
        <v>7.774647887323944</v>
      </c>
      <c r="C43" s="81"/>
      <c r="D43" s="81">
        <f>D41*F39/F41</f>
        <v>38.225352112676056</v>
      </c>
      <c r="E43" s="81"/>
      <c r="F43" s="73"/>
      <c r="H43">
        <v>1</v>
      </c>
      <c r="J43">
        <v>1</v>
      </c>
      <c r="K43">
        <v>2</v>
      </c>
    </row>
    <row r="44" spans="1:11" x14ac:dyDescent="0.3">
      <c r="A44" s="82" t="s">
        <v>8</v>
      </c>
      <c r="B44" s="81">
        <f>B41*F40/F41</f>
        <v>4.225352112676056</v>
      </c>
      <c r="C44" s="81"/>
      <c r="D44" s="81">
        <f>D41*F40/F41</f>
        <v>20.774647887323944</v>
      </c>
      <c r="E44" s="81"/>
      <c r="F44" s="73"/>
      <c r="H44">
        <v>1</v>
      </c>
      <c r="J44">
        <v>2</v>
      </c>
      <c r="K44">
        <v>1</v>
      </c>
    </row>
    <row r="45" spans="1:11" x14ac:dyDescent="0.3">
      <c r="A45" s="88"/>
      <c r="B45" s="88"/>
      <c r="C45" s="88"/>
      <c r="D45" s="88"/>
      <c r="E45" s="88"/>
      <c r="F45" s="73"/>
      <c r="J45">
        <v>2</v>
      </c>
      <c r="K45">
        <v>2</v>
      </c>
    </row>
    <row r="46" spans="1:11" x14ac:dyDescent="0.3">
      <c r="A46" s="88" t="s">
        <v>135</v>
      </c>
      <c r="B46" s="89">
        <f>CHITEST(B39:E40,B43:E44)</f>
        <v>0.96668886327982695</v>
      </c>
      <c r="C46" s="88"/>
      <c r="D46" s="88"/>
      <c r="E46" s="88"/>
      <c r="F46" s="73"/>
      <c r="J46">
        <v>2</v>
      </c>
      <c r="K46">
        <v>1</v>
      </c>
    </row>
    <row r="47" spans="1:11" x14ac:dyDescent="0.3">
      <c r="J47">
        <v>1</v>
      </c>
      <c r="K47">
        <v>2</v>
      </c>
    </row>
    <row r="48" spans="1:11" x14ac:dyDescent="0.3">
      <c r="J48">
        <v>2</v>
      </c>
      <c r="K48">
        <v>2</v>
      </c>
    </row>
    <row r="49" spans="1:13" x14ac:dyDescent="0.3">
      <c r="J49">
        <v>2</v>
      </c>
      <c r="K49">
        <v>2</v>
      </c>
    </row>
    <row r="50" spans="1:13" x14ac:dyDescent="0.3">
      <c r="A50" s="71"/>
      <c r="B50" s="72"/>
      <c r="C50" s="72"/>
      <c r="D50" s="91"/>
      <c r="E50" s="91"/>
      <c r="F50" s="75"/>
      <c r="G50" s="73"/>
      <c r="H50" s="71"/>
      <c r="I50" s="72"/>
      <c r="J50" s="72"/>
      <c r="K50" s="91"/>
      <c r="L50" s="91"/>
      <c r="M50" s="75"/>
    </row>
    <row r="51" spans="1:13" x14ac:dyDescent="0.3">
      <c r="A51" s="72"/>
      <c r="B51" s="72"/>
      <c r="C51" s="72"/>
      <c r="D51" s="91"/>
      <c r="E51" s="91"/>
      <c r="F51" s="75"/>
      <c r="G51" s="73"/>
      <c r="H51" s="72"/>
      <c r="I51" s="72"/>
      <c r="J51" s="72"/>
      <c r="K51" s="91"/>
      <c r="L51" s="91"/>
      <c r="M51" s="75"/>
    </row>
    <row r="52" spans="1:13" x14ac:dyDescent="0.3">
      <c r="A52" s="72"/>
      <c r="B52" s="72"/>
      <c r="C52" s="72"/>
      <c r="D52" s="75"/>
      <c r="E52" s="75"/>
      <c r="F52" s="73"/>
      <c r="G52" s="73"/>
      <c r="H52" s="72"/>
      <c r="I52" s="72"/>
      <c r="J52" s="72"/>
      <c r="K52" s="75"/>
      <c r="L52" s="75"/>
      <c r="M52" s="73"/>
    </row>
    <row r="53" spans="1:13" x14ac:dyDescent="0.3">
      <c r="A53" s="72"/>
      <c r="B53" s="72"/>
      <c r="C53" s="72"/>
      <c r="D53" s="75"/>
      <c r="E53" s="75"/>
      <c r="F53" s="73"/>
      <c r="G53" s="73"/>
      <c r="H53" s="72"/>
      <c r="I53" s="72"/>
      <c r="J53" s="72"/>
      <c r="K53" s="75"/>
      <c r="L53" s="75"/>
      <c r="M53" s="73"/>
    </row>
    <row r="54" spans="1:13" x14ac:dyDescent="0.3">
      <c r="A54" s="71"/>
      <c r="B54" s="71"/>
      <c r="C54" s="74"/>
      <c r="D54" s="74"/>
      <c r="E54" s="74"/>
      <c r="F54" s="73"/>
      <c r="G54" s="73"/>
      <c r="H54" s="71"/>
      <c r="I54" s="71"/>
      <c r="J54" s="74"/>
      <c r="K54" s="74"/>
      <c r="L54" s="74"/>
      <c r="M54" s="73"/>
    </row>
    <row r="55" spans="1:13" x14ac:dyDescent="0.3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 x14ac:dyDescent="0.3">
      <c r="A56" s="73"/>
      <c r="B56" s="73"/>
      <c r="C56" s="73"/>
      <c r="D56" s="73"/>
      <c r="E56" s="73"/>
      <c r="F56" s="73"/>
      <c r="G56" s="73"/>
      <c r="H56" s="73"/>
      <c r="I56" s="90"/>
      <c r="J56" s="90"/>
      <c r="K56" s="90"/>
      <c r="L56" s="90"/>
      <c r="M56" s="73"/>
    </row>
    <row r="57" spans="1:13" x14ac:dyDescent="0.3">
      <c r="A57" s="73"/>
      <c r="B57" s="75"/>
      <c r="C57" s="75"/>
      <c r="D57" s="75"/>
      <c r="E57" s="75"/>
      <c r="F57" s="73"/>
      <c r="G57" s="73"/>
      <c r="H57" s="73"/>
      <c r="I57" s="90"/>
      <c r="J57" s="90"/>
      <c r="K57" s="90"/>
      <c r="L57" s="90"/>
      <c r="M57" s="73"/>
    </row>
    <row r="58" spans="1:13" x14ac:dyDescent="0.3">
      <c r="A58" s="73"/>
      <c r="B58" s="75"/>
      <c r="C58" s="75"/>
      <c r="D58" s="75"/>
      <c r="E58" s="75"/>
      <c r="F58" s="73"/>
      <c r="G58" s="73"/>
      <c r="H58" s="73"/>
      <c r="I58" s="73"/>
      <c r="J58" s="73"/>
      <c r="K58" s="73"/>
      <c r="L58" s="73"/>
      <c r="M58" s="73"/>
    </row>
    <row r="59" spans="1:13" x14ac:dyDescent="0.3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</row>
    <row r="60" spans="1:13" x14ac:dyDescent="0.3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</row>
    <row r="61" spans="1:13" x14ac:dyDescent="0.3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</row>
  </sheetData>
  <mergeCells count="47">
    <mergeCell ref="B43:C43"/>
    <mergeCell ref="D43:E43"/>
    <mergeCell ref="B44:C44"/>
    <mergeCell ref="D44:E44"/>
    <mergeCell ref="Z1:AB1"/>
    <mergeCell ref="Y2:Y4"/>
    <mergeCell ref="Z7:AB7"/>
    <mergeCell ref="Y8:Y10"/>
    <mergeCell ref="B1:D1"/>
    <mergeCell ref="O1:Q1"/>
    <mergeCell ref="N2:N4"/>
    <mergeCell ref="O7:Q7"/>
    <mergeCell ref="N8:N10"/>
    <mergeCell ref="A2:A4"/>
    <mergeCell ref="E7:F8"/>
    <mergeCell ref="E10:F12"/>
    <mergeCell ref="A18:A21"/>
    <mergeCell ref="B18:B21"/>
    <mergeCell ref="C18:C21"/>
    <mergeCell ref="D18:D21"/>
    <mergeCell ref="E18:E21"/>
    <mergeCell ref="F18:F21"/>
    <mergeCell ref="O13:Q13"/>
    <mergeCell ref="N14:N16"/>
    <mergeCell ref="O19:Q19"/>
    <mergeCell ref="N20:N22"/>
    <mergeCell ref="O25:Q25"/>
    <mergeCell ref="N26:N28"/>
    <mergeCell ref="F32:F33"/>
    <mergeCell ref="G32:G33"/>
    <mergeCell ref="B34:C34"/>
    <mergeCell ref="D34:E34"/>
    <mergeCell ref="B35:C35"/>
    <mergeCell ref="D35:E35"/>
    <mergeCell ref="A32:A33"/>
    <mergeCell ref="B32:C33"/>
    <mergeCell ref="D32:E33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</mergeCells>
  <conditionalFormatting sqref="H1:L49">
    <cfRule type="cellIs" dxfId="192" priority="9" operator="equal">
      <formula>1</formula>
    </cfRule>
    <cfRule type="cellIs" dxfId="191" priority="10" operator="equal">
      <formula>2</formula>
    </cfRule>
  </conditionalFormatting>
  <conditionalFormatting sqref="H55:L55 H56:I57 K56:K57 H58:L59">
    <cfRule type="cellIs" dxfId="190" priority="5" operator="equal">
      <formula>1</formula>
    </cfRule>
    <cfRule type="cellIs" dxfId="189" priority="6" operator="equal">
      <formula>2</formula>
    </cfRule>
    <cfRule type="cellIs" dxfId="188" priority="7" operator="equal">
      <formula>1</formula>
    </cfRule>
    <cfRule type="cellIs" dxfId="187" priority="8" operator="equal">
      <formula>2</formula>
    </cfRule>
  </conditionalFormatting>
  <conditionalFormatting sqref="A43:B44 A45:E46 D42:D44 B42">
    <cfRule type="cellIs" dxfId="103" priority="1" operator="equal">
      <formula>1</formula>
    </cfRule>
    <cfRule type="cellIs" dxfId="102" priority="2" operator="equal">
      <formula>2</formula>
    </cfRule>
    <cfRule type="cellIs" dxfId="101" priority="3" operator="equal">
      <formula>1</formula>
    </cfRule>
    <cfRule type="cellIs" dxfId="100" priority="4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857B-94F2-4BDC-9721-08018BD2FACF}">
  <dimension ref="A1:W59"/>
  <sheetViews>
    <sheetView topLeftCell="A22" workbookViewId="0">
      <selection activeCell="E48" sqref="E48"/>
    </sheetView>
  </sheetViews>
  <sheetFormatPr defaultRowHeight="14.4" x14ac:dyDescent="0.3"/>
  <sheetData>
    <row r="1" spans="1:23" x14ac:dyDescent="0.3">
      <c r="A1" s="5"/>
      <c r="B1" s="53" t="s">
        <v>90</v>
      </c>
      <c r="C1" s="53"/>
      <c r="D1" s="53"/>
      <c r="E1" s="5"/>
      <c r="H1">
        <v>1</v>
      </c>
      <c r="I1">
        <v>2</v>
      </c>
      <c r="J1">
        <v>1</v>
      </c>
      <c r="K1">
        <v>2</v>
      </c>
      <c r="N1" s="5" t="s">
        <v>113</v>
      </c>
      <c r="O1" s="53" t="s">
        <v>90</v>
      </c>
      <c r="P1" s="53"/>
      <c r="Q1" s="53"/>
      <c r="R1" s="5"/>
      <c r="T1" s="9" t="s">
        <v>83</v>
      </c>
      <c r="U1" s="9" t="s">
        <v>84</v>
      </c>
      <c r="V1" s="9" t="s">
        <v>85</v>
      </c>
      <c r="W1" s="9" t="s">
        <v>86</v>
      </c>
    </row>
    <row r="2" spans="1:23" x14ac:dyDescent="0.3">
      <c r="A2" s="53" t="s">
        <v>89</v>
      </c>
      <c r="B2" s="5"/>
      <c r="C2" s="5" t="s">
        <v>87</v>
      </c>
      <c r="D2" s="5" t="s">
        <v>18</v>
      </c>
      <c r="E2" s="5" t="s">
        <v>88</v>
      </c>
      <c r="H2">
        <v>1</v>
      </c>
      <c r="I2">
        <v>1</v>
      </c>
      <c r="J2">
        <v>2</v>
      </c>
      <c r="K2">
        <v>1</v>
      </c>
      <c r="N2" s="53" t="s">
        <v>89</v>
      </c>
      <c r="O2" s="5"/>
      <c r="P2" s="5" t="s">
        <v>87</v>
      </c>
      <c r="Q2" s="5" t="s">
        <v>18</v>
      </c>
      <c r="R2" s="5" t="s">
        <v>88</v>
      </c>
      <c r="T2" s="40">
        <f>P3/(P3+Q3)</f>
        <v>0.1111111111111111</v>
      </c>
      <c r="U2" s="40">
        <f>1-T2</f>
        <v>0.88888888888888884</v>
      </c>
      <c r="V2" s="40">
        <f>Q4/(Q4+P4)</f>
        <v>0.375</v>
      </c>
      <c r="W2" s="40">
        <f>1-V2</f>
        <v>0.625</v>
      </c>
    </row>
    <row r="3" spans="1:23" x14ac:dyDescent="0.3">
      <c r="A3" s="53"/>
      <c r="B3" s="5" t="s">
        <v>87</v>
      </c>
      <c r="C3" s="7">
        <v>32</v>
      </c>
      <c r="D3" s="7">
        <v>62</v>
      </c>
      <c r="E3" s="7">
        <f>C3+D3</f>
        <v>94</v>
      </c>
      <c r="H3">
        <v>2</v>
      </c>
      <c r="I3">
        <v>2</v>
      </c>
      <c r="J3">
        <v>1</v>
      </c>
      <c r="K3">
        <v>2</v>
      </c>
      <c r="N3" s="53"/>
      <c r="O3" s="5" t="s">
        <v>87</v>
      </c>
      <c r="P3" s="7">
        <v>2</v>
      </c>
      <c r="Q3" s="7">
        <v>16</v>
      </c>
      <c r="R3" s="7">
        <f>P3+Q3</f>
        <v>18</v>
      </c>
    </row>
    <row r="4" spans="1:23" x14ac:dyDescent="0.3">
      <c r="A4" s="53"/>
      <c r="B4" s="5" t="s">
        <v>18</v>
      </c>
      <c r="C4" s="7">
        <v>63</v>
      </c>
      <c r="D4" s="7">
        <v>30</v>
      </c>
      <c r="E4" s="7">
        <f>C4+D4</f>
        <v>93</v>
      </c>
      <c r="H4">
        <v>1</v>
      </c>
      <c r="I4">
        <v>1</v>
      </c>
      <c r="J4">
        <v>2</v>
      </c>
      <c r="K4">
        <v>2</v>
      </c>
      <c r="N4" s="53"/>
      <c r="O4" s="5" t="s">
        <v>18</v>
      </c>
      <c r="P4" s="7">
        <v>15</v>
      </c>
      <c r="Q4" s="7">
        <v>9</v>
      </c>
      <c r="R4" s="7">
        <f>P4+Q4</f>
        <v>24</v>
      </c>
    </row>
    <row r="5" spans="1:23" x14ac:dyDescent="0.3">
      <c r="A5" s="5" t="s">
        <v>88</v>
      </c>
      <c r="B5" s="5"/>
      <c r="C5" s="7">
        <f>C3+C4</f>
        <v>95</v>
      </c>
      <c r="D5" s="7">
        <f>D3+D4</f>
        <v>92</v>
      </c>
      <c r="E5" s="7">
        <f>E3+E4</f>
        <v>187</v>
      </c>
      <c r="H5">
        <v>2</v>
      </c>
      <c r="I5">
        <v>2</v>
      </c>
      <c r="J5">
        <v>1</v>
      </c>
      <c r="K5">
        <v>1</v>
      </c>
      <c r="N5" s="5" t="s">
        <v>88</v>
      </c>
      <c r="O5" s="5"/>
      <c r="P5" s="7">
        <f>P3+P4</f>
        <v>17</v>
      </c>
      <c r="Q5" s="7">
        <f>Q3+Q4</f>
        <v>25</v>
      </c>
      <c r="R5" s="7">
        <f>R3+R4</f>
        <v>42</v>
      </c>
    </row>
    <row r="6" spans="1:23" x14ac:dyDescent="0.3">
      <c r="H6">
        <v>2</v>
      </c>
      <c r="I6">
        <v>1</v>
      </c>
      <c r="J6">
        <v>1</v>
      </c>
      <c r="K6">
        <v>1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1</v>
      </c>
      <c r="I7">
        <v>1</v>
      </c>
      <c r="J7">
        <v>1</v>
      </c>
      <c r="K7">
        <v>2</v>
      </c>
      <c r="N7" s="5" t="s">
        <v>114</v>
      </c>
      <c r="O7" s="53" t="s">
        <v>90</v>
      </c>
      <c r="P7" s="53"/>
      <c r="Q7" s="53"/>
      <c r="R7" s="5"/>
      <c r="T7" s="9" t="s">
        <v>83</v>
      </c>
      <c r="U7" s="9" t="s">
        <v>84</v>
      </c>
      <c r="V7" s="9" t="s">
        <v>85</v>
      </c>
      <c r="W7" s="9" t="s">
        <v>86</v>
      </c>
    </row>
    <row r="8" spans="1:23" x14ac:dyDescent="0.3">
      <c r="A8" s="8">
        <f>C3/E3</f>
        <v>0.34042553191489361</v>
      </c>
      <c r="B8" s="8">
        <f>1-A8</f>
        <v>0.65957446808510634</v>
      </c>
      <c r="C8" s="8">
        <f>D4/E4</f>
        <v>0.32258064516129031</v>
      </c>
      <c r="D8" s="8">
        <f>1-C8</f>
        <v>0.67741935483870974</v>
      </c>
      <c r="H8">
        <v>2</v>
      </c>
      <c r="I8">
        <v>2</v>
      </c>
      <c r="J8">
        <v>1</v>
      </c>
      <c r="K8">
        <v>1</v>
      </c>
      <c r="N8" s="53" t="s">
        <v>89</v>
      </c>
      <c r="O8" s="5"/>
      <c r="P8" s="5" t="s">
        <v>87</v>
      </c>
      <c r="Q8" s="5" t="s">
        <v>18</v>
      </c>
      <c r="R8" s="5" t="s">
        <v>88</v>
      </c>
      <c r="T8" s="40">
        <f>P9/(P9+Q9)</f>
        <v>0.37037037037037035</v>
      </c>
      <c r="U8" s="40">
        <f>1-T8</f>
        <v>0.62962962962962965</v>
      </c>
      <c r="V8" s="40">
        <f>Q10/(Q10+P10)</f>
        <v>0.33333333333333331</v>
      </c>
      <c r="W8" s="40">
        <f>1-V8</f>
        <v>0.66666666666666674</v>
      </c>
    </row>
    <row r="9" spans="1:23" x14ac:dyDescent="0.3">
      <c r="H9">
        <v>1</v>
      </c>
      <c r="I9">
        <v>2</v>
      </c>
      <c r="J9">
        <v>2</v>
      </c>
      <c r="K9">
        <v>1</v>
      </c>
      <c r="N9" s="53"/>
      <c r="O9" s="5" t="s">
        <v>87</v>
      </c>
      <c r="P9" s="7">
        <v>10</v>
      </c>
      <c r="Q9" s="7">
        <v>17</v>
      </c>
      <c r="R9" s="7">
        <f>P9+Q9</f>
        <v>27</v>
      </c>
    </row>
    <row r="10" spans="1:23" ht="14.4" customHeight="1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1</v>
      </c>
      <c r="I10">
        <v>2</v>
      </c>
      <c r="J10">
        <v>1</v>
      </c>
      <c r="K10">
        <v>1</v>
      </c>
      <c r="N10" s="53"/>
      <c r="O10" s="5" t="s">
        <v>18</v>
      </c>
      <c r="P10" s="7">
        <v>18</v>
      </c>
      <c r="Q10" s="7">
        <v>9</v>
      </c>
      <c r="R10" s="7">
        <f>P10+Q10</f>
        <v>27</v>
      </c>
    </row>
    <row r="11" spans="1:23" x14ac:dyDescent="0.3">
      <c r="A11" s="43">
        <f>C3/E3</f>
        <v>0.34042553191489361</v>
      </c>
      <c r="B11" s="43">
        <f>1-A11</f>
        <v>0.65957446808510634</v>
      </c>
      <c r="C11" s="43">
        <f>D4/E4</f>
        <v>0.32258064516129031</v>
      </c>
      <c r="D11" s="43">
        <f>1-C11</f>
        <v>0.67741935483870974</v>
      </c>
      <c r="E11" s="59"/>
      <c r="F11" s="59"/>
      <c r="H11">
        <v>2</v>
      </c>
      <c r="I11">
        <v>1</v>
      </c>
      <c r="J11">
        <v>2</v>
      </c>
      <c r="K11">
        <v>2</v>
      </c>
      <c r="N11" s="5" t="s">
        <v>88</v>
      </c>
      <c r="O11" s="5"/>
      <c r="P11" s="7">
        <f>P9+P10</f>
        <v>28</v>
      </c>
      <c r="Q11" s="7">
        <f>Q9+Q10</f>
        <v>26</v>
      </c>
      <c r="R11" s="7">
        <f>R9+R10</f>
        <v>54</v>
      </c>
    </row>
    <row r="12" spans="1:23" x14ac:dyDescent="0.3">
      <c r="E12" s="59"/>
      <c r="F12" s="59"/>
      <c r="H12">
        <v>2</v>
      </c>
      <c r="I12">
        <v>2</v>
      </c>
      <c r="J12">
        <v>1</v>
      </c>
      <c r="K12">
        <v>2</v>
      </c>
    </row>
    <row r="13" spans="1:23" x14ac:dyDescent="0.3">
      <c r="H13">
        <v>1</v>
      </c>
      <c r="I13">
        <v>1</v>
      </c>
      <c r="J13">
        <v>2</v>
      </c>
      <c r="K13">
        <v>1</v>
      </c>
      <c r="N13" s="5" t="s">
        <v>115</v>
      </c>
      <c r="O13" s="53" t="s">
        <v>90</v>
      </c>
      <c r="P13" s="53"/>
      <c r="Q13" s="53"/>
      <c r="R13" s="5"/>
      <c r="T13" s="9" t="s">
        <v>83</v>
      </c>
      <c r="U13" s="9" t="s">
        <v>84</v>
      </c>
      <c r="V13" s="9" t="s">
        <v>85</v>
      </c>
      <c r="W13" s="9" t="s">
        <v>86</v>
      </c>
    </row>
    <row r="14" spans="1:23" x14ac:dyDescent="0.3">
      <c r="H14">
        <v>2</v>
      </c>
      <c r="I14">
        <v>2</v>
      </c>
      <c r="J14">
        <v>1</v>
      </c>
      <c r="K14">
        <v>2</v>
      </c>
      <c r="N14" s="53" t="s">
        <v>89</v>
      </c>
      <c r="O14" s="5"/>
      <c r="P14" s="5" t="s">
        <v>87</v>
      </c>
      <c r="Q14" s="5" t="s">
        <v>18</v>
      </c>
      <c r="R14" s="5" t="s">
        <v>88</v>
      </c>
      <c r="T14" s="40">
        <f>P15/(P15+Q15)</f>
        <v>0.32</v>
      </c>
      <c r="U14" s="40">
        <f>1-T14</f>
        <v>0.67999999999999994</v>
      </c>
      <c r="V14" s="40">
        <f>Q16/(Q16+P16)</f>
        <v>0.22727272727272727</v>
      </c>
      <c r="W14" s="40">
        <f>1-V14</f>
        <v>0.77272727272727271</v>
      </c>
    </row>
    <row r="15" spans="1:23" x14ac:dyDescent="0.3">
      <c r="H15">
        <v>1</v>
      </c>
      <c r="I15">
        <v>1</v>
      </c>
      <c r="J15">
        <v>2</v>
      </c>
      <c r="K15">
        <v>1</v>
      </c>
      <c r="N15" s="53"/>
      <c r="O15" s="5" t="s">
        <v>87</v>
      </c>
      <c r="P15" s="7">
        <v>8</v>
      </c>
      <c r="Q15" s="7">
        <v>17</v>
      </c>
      <c r="R15" s="7">
        <f>P15+Q15</f>
        <v>25</v>
      </c>
    </row>
    <row r="16" spans="1:23" x14ac:dyDescent="0.3">
      <c r="H16">
        <v>2</v>
      </c>
      <c r="I16">
        <v>1</v>
      </c>
      <c r="J16">
        <v>1</v>
      </c>
      <c r="K16">
        <v>1</v>
      </c>
      <c r="N16" s="53"/>
      <c r="O16" s="5" t="s">
        <v>18</v>
      </c>
      <c r="P16" s="7">
        <v>17</v>
      </c>
      <c r="Q16" s="7">
        <v>5</v>
      </c>
      <c r="R16" s="7">
        <f>P16+Q16</f>
        <v>22</v>
      </c>
    </row>
    <row r="17" spans="1:23" x14ac:dyDescent="0.3">
      <c r="H17">
        <v>2</v>
      </c>
      <c r="I17">
        <v>1</v>
      </c>
      <c r="J17">
        <v>2</v>
      </c>
      <c r="K17">
        <v>2</v>
      </c>
      <c r="N17" s="5" t="s">
        <v>88</v>
      </c>
      <c r="O17" s="5"/>
      <c r="P17" s="7">
        <f>P15+P16</f>
        <v>25</v>
      </c>
      <c r="Q17" s="7">
        <f>Q15+Q16</f>
        <v>22</v>
      </c>
      <c r="R17" s="7">
        <f>R15+R16</f>
        <v>47</v>
      </c>
    </row>
    <row r="18" spans="1:23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2</v>
      </c>
      <c r="I18">
        <v>1</v>
      </c>
      <c r="J18">
        <v>2</v>
      </c>
      <c r="K18">
        <v>1</v>
      </c>
    </row>
    <row r="19" spans="1:23" x14ac:dyDescent="0.3">
      <c r="A19" s="54"/>
      <c r="B19" s="54"/>
      <c r="C19" s="69"/>
      <c r="D19" s="54"/>
      <c r="E19" s="54"/>
      <c r="F19" s="54"/>
      <c r="H19">
        <v>1</v>
      </c>
      <c r="I19">
        <v>2</v>
      </c>
      <c r="J19">
        <v>1</v>
      </c>
      <c r="K19">
        <v>2</v>
      </c>
      <c r="N19" s="5" t="s">
        <v>117</v>
      </c>
      <c r="O19" s="53" t="s">
        <v>90</v>
      </c>
      <c r="P19" s="53"/>
      <c r="Q19" s="53"/>
      <c r="R19" s="5"/>
      <c r="T19" s="9" t="s">
        <v>83</v>
      </c>
      <c r="U19" s="9" t="s">
        <v>84</v>
      </c>
      <c r="V19" s="9" t="s">
        <v>85</v>
      </c>
      <c r="W19" s="9" t="s">
        <v>86</v>
      </c>
    </row>
    <row r="20" spans="1:23" x14ac:dyDescent="0.3">
      <c r="A20" s="54"/>
      <c r="B20" s="54"/>
      <c r="C20" s="69"/>
      <c r="D20" s="54"/>
      <c r="E20" s="54"/>
      <c r="F20" s="54"/>
      <c r="H20">
        <v>2</v>
      </c>
      <c r="I20">
        <v>1</v>
      </c>
      <c r="J20">
        <v>2</v>
      </c>
      <c r="K20">
        <v>1</v>
      </c>
      <c r="N20" s="53" t="s">
        <v>89</v>
      </c>
      <c r="O20" s="5"/>
      <c r="P20" s="5" t="s">
        <v>87</v>
      </c>
      <c r="Q20" s="5" t="s">
        <v>18</v>
      </c>
      <c r="R20" s="5" t="s">
        <v>88</v>
      </c>
      <c r="T20" s="41">
        <f>P21/(P21+Q21)</f>
        <v>0.5</v>
      </c>
      <c r="U20" s="41">
        <f>1-T20</f>
        <v>0.5</v>
      </c>
      <c r="V20" s="40">
        <f>Q22/(Q22+P22)</f>
        <v>0.35</v>
      </c>
      <c r="W20" s="40">
        <f>1-V20</f>
        <v>0.65</v>
      </c>
    </row>
    <row r="21" spans="1:23" x14ac:dyDescent="0.3">
      <c r="A21" s="54"/>
      <c r="B21" s="54"/>
      <c r="C21" s="70"/>
      <c r="D21" s="54"/>
      <c r="E21" s="54"/>
      <c r="F21" s="54"/>
      <c r="H21">
        <v>1</v>
      </c>
      <c r="I21">
        <v>1</v>
      </c>
      <c r="J21">
        <v>1</v>
      </c>
      <c r="K21">
        <v>1</v>
      </c>
      <c r="N21" s="53"/>
      <c r="O21" s="5" t="s">
        <v>87</v>
      </c>
      <c r="P21" s="7">
        <v>12</v>
      </c>
      <c r="Q21" s="7">
        <v>12</v>
      </c>
      <c r="R21" s="7">
        <f>P21+Q21</f>
        <v>24</v>
      </c>
    </row>
    <row r="22" spans="1:23" x14ac:dyDescent="0.3">
      <c r="A22" s="37">
        <v>1</v>
      </c>
      <c r="B22" s="37">
        <v>83</v>
      </c>
      <c r="C22" s="40">
        <f>($C$4*$D$11*$A$11^0)+($D$3*$B$11*$C$11^0)</f>
        <v>83.571036376115302</v>
      </c>
      <c r="D22" s="37">
        <v>88.126000000000005</v>
      </c>
      <c r="E22" s="5" t="s">
        <v>125</v>
      </c>
      <c r="F22" s="5" t="s">
        <v>125</v>
      </c>
      <c r="H22">
        <v>2</v>
      </c>
      <c r="I22">
        <v>2</v>
      </c>
      <c r="J22">
        <v>2</v>
      </c>
      <c r="K22">
        <v>1</v>
      </c>
      <c r="N22" s="53"/>
      <c r="O22" s="5" t="s">
        <v>18</v>
      </c>
      <c r="P22" s="7">
        <v>13</v>
      </c>
      <c r="Q22" s="7">
        <v>7</v>
      </c>
      <c r="R22" s="7">
        <f>P22+Q22</f>
        <v>20</v>
      </c>
    </row>
    <row r="23" spans="1:23" x14ac:dyDescent="0.3">
      <c r="A23" s="37">
        <v>2</v>
      </c>
      <c r="B23" s="37">
        <v>23</v>
      </c>
      <c r="C23" s="40">
        <f>($C$4*$D$11*$A$11^1)+($D$3*$B$11*$C$11^1)</f>
        <v>27.719972546328069</v>
      </c>
      <c r="D23" s="37">
        <v>26.64</v>
      </c>
      <c r="E23" s="5" t="s">
        <v>125</v>
      </c>
      <c r="F23" s="5" t="s">
        <v>125</v>
      </c>
      <c r="H23">
        <v>1</v>
      </c>
      <c r="I23">
        <v>2</v>
      </c>
      <c r="J23">
        <v>1</v>
      </c>
      <c r="K23">
        <v>2</v>
      </c>
      <c r="N23" s="5" t="s">
        <v>88</v>
      </c>
      <c r="O23" s="5"/>
      <c r="P23" s="7">
        <f>P21+P22</f>
        <v>25</v>
      </c>
      <c r="Q23" s="7">
        <f>Q21+Q22</f>
        <v>19</v>
      </c>
      <c r="R23" s="7">
        <f>R21+R22</f>
        <v>44</v>
      </c>
    </row>
    <row r="24" spans="1:23" x14ac:dyDescent="0.3">
      <c r="A24" s="37">
        <v>3</v>
      </c>
      <c r="B24" s="37">
        <v>10</v>
      </c>
      <c r="C24" s="40">
        <f>($C$4*$D$11*$A$11^2)+($D$3*$B$11*$C$11^2)</f>
        <v>9.2011857649790443</v>
      </c>
      <c r="D24" s="37">
        <v>8.6530000000000005</v>
      </c>
      <c r="E24" s="37">
        <v>5</v>
      </c>
      <c r="F24" s="5">
        <v>5</v>
      </c>
      <c r="H24">
        <v>2</v>
      </c>
      <c r="I24">
        <v>1</v>
      </c>
      <c r="J24">
        <v>1</v>
      </c>
      <c r="K24">
        <v>1</v>
      </c>
    </row>
    <row r="25" spans="1:23" x14ac:dyDescent="0.3">
      <c r="A25" s="37">
        <v>4</v>
      </c>
      <c r="B25" s="37">
        <v>6</v>
      </c>
      <c r="C25" s="40">
        <f>($C$4*$D$11*$A$11^3)+($D$3*$B$11*$C$11^3)</f>
        <v>3.0563828699775328</v>
      </c>
      <c r="D25" s="37">
        <v>2.7770000000000001</v>
      </c>
      <c r="E25" s="5">
        <v>3</v>
      </c>
      <c r="F25" s="5">
        <v>3</v>
      </c>
      <c r="H25">
        <v>1</v>
      </c>
      <c r="I25">
        <v>2</v>
      </c>
      <c r="J25">
        <v>2</v>
      </c>
      <c r="K25">
        <v>1</v>
      </c>
    </row>
    <row r="26" spans="1:23" x14ac:dyDescent="0.3">
      <c r="A26" s="37">
        <v>5</v>
      </c>
      <c r="B26" s="37">
        <v>0</v>
      </c>
      <c r="C26" s="40">
        <f>($C$4*$D$11*$A$11^4)+($D$3*$B$11*$C$11^4)</f>
        <v>1.0159753809208303</v>
      </c>
      <c r="D26" s="37">
        <v>1.0289999999999999</v>
      </c>
      <c r="E26" s="5">
        <v>0</v>
      </c>
      <c r="F26" s="5">
        <v>0</v>
      </c>
      <c r="H26">
        <v>2</v>
      </c>
      <c r="I26">
        <v>1</v>
      </c>
      <c r="J26">
        <v>1</v>
      </c>
      <c r="K26">
        <v>1</v>
      </c>
    </row>
    <row r="27" spans="1:23" x14ac:dyDescent="0.3">
      <c r="A27" s="37">
        <v>6</v>
      </c>
      <c r="B27" s="37">
        <v>0</v>
      </c>
      <c r="C27" s="40">
        <f>($C$4*$D$11*$A$11^5)+($D$3*$B$11*$C$11^5)</f>
        <v>0.33796222290536498</v>
      </c>
      <c r="D27" s="37">
        <v>0.32500000000000001</v>
      </c>
      <c r="E27" s="5">
        <v>0</v>
      </c>
      <c r="F27" s="5">
        <v>0</v>
      </c>
      <c r="H27">
        <v>2</v>
      </c>
      <c r="I27">
        <v>2</v>
      </c>
      <c r="J27">
        <v>2</v>
      </c>
      <c r="K27">
        <v>2</v>
      </c>
    </row>
    <row r="28" spans="1:23" x14ac:dyDescent="0.3">
      <c r="A28" s="37">
        <v>7</v>
      </c>
      <c r="B28" s="37">
        <v>0</v>
      </c>
      <c r="C28" s="40">
        <f>($C$4*$D$11*$A$11^6)+($D$3*$B$11*$C$11^6)</f>
        <v>0.1125020222232325</v>
      </c>
      <c r="D28" s="37">
        <v>0.126</v>
      </c>
      <c r="E28" s="5">
        <v>0</v>
      </c>
      <c r="F28" s="5">
        <v>0</v>
      </c>
      <c r="H28">
        <v>2</v>
      </c>
      <c r="I28">
        <v>1</v>
      </c>
      <c r="J28">
        <v>2</v>
      </c>
      <c r="K28">
        <v>2</v>
      </c>
    </row>
    <row r="29" spans="1:23" x14ac:dyDescent="0.3">
      <c r="A29" s="37">
        <v>8</v>
      </c>
      <c r="B29" s="37">
        <v>0</v>
      </c>
      <c r="C29" s="40">
        <f>($C$4*$D$11*$A$11^7)+($D$3*$B$11*$C$11^7)</f>
        <v>3.7476319699920504E-2</v>
      </c>
      <c r="D29" s="37">
        <v>4.2999999999999997E-2</v>
      </c>
      <c r="E29" s="5">
        <v>0</v>
      </c>
      <c r="F29" s="5">
        <v>0</v>
      </c>
      <c r="H29">
        <v>1</v>
      </c>
      <c r="I29">
        <v>2</v>
      </c>
      <c r="J29">
        <v>2</v>
      </c>
      <c r="K29">
        <v>1</v>
      </c>
    </row>
    <row r="30" spans="1:23" x14ac:dyDescent="0.3">
      <c r="A30" s="37" t="s">
        <v>103</v>
      </c>
      <c r="B30" s="37">
        <v>0</v>
      </c>
      <c r="C30" s="40">
        <f>($C$4*$D$11*$A$11^8)+($D$3*$B$11*$C$11^8)</f>
        <v>1.249265701743721E-2</v>
      </c>
      <c r="D30" s="37">
        <v>2.1999999999999999E-2</v>
      </c>
      <c r="E30" s="5">
        <v>0</v>
      </c>
      <c r="F30" s="5">
        <v>0</v>
      </c>
      <c r="H30">
        <v>2</v>
      </c>
      <c r="I30">
        <v>2</v>
      </c>
      <c r="J30">
        <v>2</v>
      </c>
      <c r="K30">
        <v>2</v>
      </c>
    </row>
    <row r="31" spans="1:23" x14ac:dyDescent="0.3">
      <c r="H31">
        <v>1</v>
      </c>
      <c r="I31">
        <v>2</v>
      </c>
      <c r="J31">
        <v>1</v>
      </c>
      <c r="K31">
        <v>1</v>
      </c>
    </row>
    <row r="32" spans="1:23" ht="14.4" customHeight="1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2</v>
      </c>
      <c r="I32">
        <v>1</v>
      </c>
      <c r="J32">
        <v>2</v>
      </c>
      <c r="K32">
        <v>2</v>
      </c>
    </row>
    <row r="33" spans="1:11" x14ac:dyDescent="0.3">
      <c r="A33" s="53"/>
      <c r="B33" s="54"/>
      <c r="C33" s="54"/>
      <c r="D33" s="54"/>
      <c r="E33" s="54"/>
      <c r="F33" s="53"/>
      <c r="G33" s="53"/>
      <c r="H33">
        <v>1</v>
      </c>
      <c r="I33">
        <v>2</v>
      </c>
      <c r="J33">
        <v>1</v>
      </c>
      <c r="K33">
        <v>2</v>
      </c>
    </row>
    <row r="34" spans="1:11" x14ac:dyDescent="0.3">
      <c r="A34" s="5" t="s">
        <v>87</v>
      </c>
      <c r="B34" s="64">
        <f>E24+E25+E26+E27+E28+E29+E30</f>
        <v>8</v>
      </c>
      <c r="C34" s="65"/>
      <c r="D34" s="66">
        <f>E24*1+E25*2+E26*3+E27*4+E28*5+E29*6+E30*7</f>
        <v>11</v>
      </c>
      <c r="E34" s="67"/>
      <c r="F34" s="48">
        <f>B34/D34</f>
        <v>0.72727272727272729</v>
      </c>
      <c r="G34" s="49">
        <f>F34</f>
        <v>0.72727272727272729</v>
      </c>
      <c r="H34">
        <v>2</v>
      </c>
      <c r="I34">
        <v>1</v>
      </c>
      <c r="J34">
        <v>2</v>
      </c>
      <c r="K34">
        <v>1</v>
      </c>
    </row>
    <row r="35" spans="1:11" x14ac:dyDescent="0.3">
      <c r="A35" s="5" t="s">
        <v>18</v>
      </c>
      <c r="B35" s="64">
        <f>F24+F25+F26+F27+F28+F29+F30</f>
        <v>8</v>
      </c>
      <c r="C35" s="65"/>
      <c r="D35" s="66">
        <f>F24*1+F25*2+F26*3+F27*4+F28*5+F29*6+F30*7</f>
        <v>11</v>
      </c>
      <c r="E35" s="67"/>
      <c r="F35" s="48">
        <f>B35/D35</f>
        <v>0.72727272727272729</v>
      </c>
      <c r="G35" s="49">
        <f>F35</f>
        <v>0.72727272727272729</v>
      </c>
      <c r="H35">
        <v>2</v>
      </c>
      <c r="I35">
        <v>2</v>
      </c>
      <c r="J35">
        <v>1</v>
      </c>
      <c r="K35">
        <v>1</v>
      </c>
    </row>
    <row r="36" spans="1:11" x14ac:dyDescent="0.3">
      <c r="H36">
        <v>2</v>
      </c>
      <c r="I36">
        <v>1</v>
      </c>
      <c r="J36">
        <v>1</v>
      </c>
      <c r="K36">
        <v>2</v>
      </c>
    </row>
    <row r="37" spans="1:11" x14ac:dyDescent="0.3">
      <c r="H37">
        <v>1</v>
      </c>
      <c r="I37">
        <v>1</v>
      </c>
      <c r="J37">
        <v>2</v>
      </c>
      <c r="K37">
        <v>1</v>
      </c>
    </row>
    <row r="38" spans="1:11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2</v>
      </c>
      <c r="I38">
        <v>1</v>
      </c>
      <c r="J38">
        <v>1</v>
      </c>
      <c r="K38">
        <v>1</v>
      </c>
    </row>
    <row r="39" spans="1:11" x14ac:dyDescent="0.3">
      <c r="A39" s="80" t="s">
        <v>87</v>
      </c>
      <c r="B39" s="83">
        <v>8</v>
      </c>
      <c r="C39" s="83"/>
      <c r="D39" s="92">
        <v>32</v>
      </c>
      <c r="E39" s="92"/>
      <c r="F39" s="82">
        <f>SUM(B39+D39)</f>
        <v>40</v>
      </c>
      <c r="H39">
        <v>1</v>
      </c>
      <c r="I39">
        <v>2</v>
      </c>
      <c r="J39">
        <v>2</v>
      </c>
      <c r="K39">
        <v>1</v>
      </c>
    </row>
    <row r="40" spans="1:11" x14ac:dyDescent="0.3">
      <c r="A40" s="80" t="s">
        <v>18</v>
      </c>
      <c r="B40" s="83">
        <v>8</v>
      </c>
      <c r="C40" s="83"/>
      <c r="D40" s="92">
        <v>30</v>
      </c>
      <c r="E40" s="92"/>
      <c r="F40" s="82">
        <f>SUM(B40+D40)</f>
        <v>38</v>
      </c>
      <c r="H40">
        <v>2</v>
      </c>
      <c r="I40">
        <v>1</v>
      </c>
      <c r="J40">
        <v>2</v>
      </c>
      <c r="K40">
        <v>1</v>
      </c>
    </row>
    <row r="41" spans="1:11" x14ac:dyDescent="0.3">
      <c r="A41" s="85"/>
      <c r="B41" s="86">
        <f>SUM(B39:B40)</f>
        <v>16</v>
      </c>
      <c r="C41" s="86"/>
      <c r="D41" s="87">
        <f>SUM(D39:D40)</f>
        <v>62</v>
      </c>
      <c r="E41" s="87"/>
      <c r="F41" s="82">
        <f>SUM(F39:F40)</f>
        <v>78</v>
      </c>
      <c r="H41">
        <v>1</v>
      </c>
      <c r="I41">
        <v>2</v>
      </c>
      <c r="J41">
        <v>1</v>
      </c>
      <c r="K41">
        <v>2</v>
      </c>
    </row>
    <row r="42" spans="1:11" x14ac:dyDescent="0.3">
      <c r="A42" s="40"/>
      <c r="B42" s="84" t="s">
        <v>134</v>
      </c>
      <c r="C42" s="84"/>
      <c r="D42" s="84" t="s">
        <v>132</v>
      </c>
      <c r="E42" s="84"/>
      <c r="F42" s="73"/>
      <c r="H42">
        <v>2</v>
      </c>
      <c r="I42">
        <v>2</v>
      </c>
      <c r="J42">
        <v>1</v>
      </c>
      <c r="K42">
        <v>2</v>
      </c>
    </row>
    <row r="43" spans="1:11" x14ac:dyDescent="0.3">
      <c r="A43" s="82" t="s">
        <v>87</v>
      </c>
      <c r="B43" s="81">
        <f>B41*F39/F41</f>
        <v>8.2051282051282044</v>
      </c>
      <c r="C43" s="81"/>
      <c r="D43" s="81">
        <f>D41*F39/F41</f>
        <v>31.794871794871796</v>
      </c>
      <c r="E43" s="81"/>
      <c r="F43" s="73"/>
      <c r="H43">
        <v>2</v>
      </c>
      <c r="I43">
        <v>2</v>
      </c>
      <c r="J43">
        <v>1</v>
      </c>
      <c r="K43">
        <v>2</v>
      </c>
    </row>
    <row r="44" spans="1:11" x14ac:dyDescent="0.3">
      <c r="A44" s="82" t="s">
        <v>18</v>
      </c>
      <c r="B44" s="81">
        <f>B41*F40/F41</f>
        <v>7.7948717948717947</v>
      </c>
      <c r="C44" s="81"/>
      <c r="D44" s="81">
        <f>D41*F40/F41</f>
        <v>30.205128205128204</v>
      </c>
      <c r="E44" s="81"/>
      <c r="F44" s="73"/>
      <c r="I44">
        <v>2</v>
      </c>
      <c r="J44">
        <v>2</v>
      </c>
      <c r="K44">
        <v>2</v>
      </c>
    </row>
    <row r="45" spans="1:11" x14ac:dyDescent="0.3">
      <c r="A45" s="88"/>
      <c r="B45" s="88"/>
      <c r="C45" s="88"/>
      <c r="D45" s="88"/>
      <c r="E45" s="88"/>
      <c r="F45" s="73"/>
      <c r="I45">
        <v>1</v>
      </c>
      <c r="J45">
        <v>1</v>
      </c>
      <c r="K45">
        <v>1</v>
      </c>
    </row>
    <row r="46" spans="1:11" x14ac:dyDescent="0.3">
      <c r="A46" s="88" t="s">
        <v>135</v>
      </c>
      <c r="B46" s="89">
        <f>CHITEST(B39:E40,B43:E44)</f>
        <v>0.99959629601060807</v>
      </c>
      <c r="C46" s="88"/>
      <c r="D46" s="88"/>
      <c r="E46" s="88"/>
      <c r="F46" s="73"/>
      <c r="I46">
        <v>2</v>
      </c>
      <c r="J46">
        <v>2</v>
      </c>
    </row>
    <row r="47" spans="1:11" x14ac:dyDescent="0.3">
      <c r="I47">
        <v>1</v>
      </c>
      <c r="J47">
        <v>1</v>
      </c>
    </row>
    <row r="48" spans="1:11" x14ac:dyDescent="0.3">
      <c r="I48">
        <v>1</v>
      </c>
      <c r="J48">
        <v>1</v>
      </c>
    </row>
    <row r="49" spans="1:9" x14ac:dyDescent="0.3">
      <c r="I49">
        <v>2</v>
      </c>
    </row>
    <row r="50" spans="1:9" x14ac:dyDescent="0.3">
      <c r="A50" s="71"/>
      <c r="B50" s="72"/>
      <c r="C50" s="72"/>
      <c r="D50" s="91"/>
      <c r="E50" s="91"/>
      <c r="F50" s="75"/>
      <c r="I50">
        <v>2</v>
      </c>
    </row>
    <row r="51" spans="1:9" x14ac:dyDescent="0.3">
      <c r="A51" s="72"/>
      <c r="B51" s="72"/>
      <c r="C51" s="72"/>
      <c r="D51" s="91"/>
      <c r="E51" s="91"/>
      <c r="F51" s="75"/>
      <c r="I51">
        <v>1</v>
      </c>
    </row>
    <row r="52" spans="1:9" x14ac:dyDescent="0.3">
      <c r="A52" s="72"/>
      <c r="B52" s="93"/>
      <c r="C52" s="93"/>
      <c r="D52" s="94"/>
      <c r="E52" s="94"/>
      <c r="F52" s="73"/>
      <c r="I52">
        <v>1</v>
      </c>
    </row>
    <row r="53" spans="1:9" x14ac:dyDescent="0.3">
      <c r="A53" s="72"/>
      <c r="B53" s="93"/>
      <c r="C53" s="93"/>
      <c r="D53" s="94"/>
      <c r="E53" s="94"/>
      <c r="F53" s="73"/>
      <c r="I53">
        <v>2</v>
      </c>
    </row>
    <row r="54" spans="1:9" x14ac:dyDescent="0.3">
      <c r="A54" s="71"/>
      <c r="B54" s="71"/>
      <c r="C54" s="74"/>
      <c r="D54" s="74"/>
      <c r="E54" s="74"/>
      <c r="F54" s="73"/>
      <c r="I54">
        <v>1</v>
      </c>
    </row>
    <row r="55" spans="1:9" x14ac:dyDescent="0.3">
      <c r="A55" s="73"/>
      <c r="B55" s="73"/>
      <c r="C55" s="73"/>
      <c r="D55" s="73"/>
      <c r="E55" s="73"/>
      <c r="F55" s="73"/>
      <c r="I55">
        <v>1</v>
      </c>
    </row>
    <row r="56" spans="1:9" x14ac:dyDescent="0.3">
      <c r="A56" s="73"/>
      <c r="B56" s="90"/>
      <c r="C56" s="90"/>
      <c r="D56" s="90"/>
      <c r="E56" s="90"/>
      <c r="F56" s="73"/>
    </row>
    <row r="57" spans="1:9" x14ac:dyDescent="0.3">
      <c r="A57" s="73"/>
      <c r="B57" s="90"/>
      <c r="C57" s="90"/>
      <c r="D57" s="90"/>
      <c r="E57" s="90"/>
      <c r="F57" s="73"/>
    </row>
    <row r="58" spans="1:9" x14ac:dyDescent="0.3">
      <c r="A58" s="73"/>
      <c r="B58" s="73"/>
      <c r="C58" s="73"/>
      <c r="D58" s="73"/>
      <c r="E58" s="73"/>
      <c r="F58" s="73"/>
    </row>
    <row r="59" spans="1:9" x14ac:dyDescent="0.3">
      <c r="A59" s="73"/>
      <c r="B59" s="73"/>
      <c r="C59" s="73"/>
      <c r="D59" s="73"/>
      <c r="E59" s="73"/>
      <c r="F59" s="73"/>
    </row>
  </sheetData>
  <mergeCells count="40">
    <mergeCell ref="B44:C44"/>
    <mergeCell ref="D44:E44"/>
    <mergeCell ref="B41:C41"/>
    <mergeCell ref="D41:E41"/>
    <mergeCell ref="B42:C42"/>
    <mergeCell ref="D42:E42"/>
    <mergeCell ref="B43:C43"/>
    <mergeCell ref="D43:E43"/>
    <mergeCell ref="D38:E38"/>
    <mergeCell ref="B39:C39"/>
    <mergeCell ref="D39:E39"/>
    <mergeCell ref="B40:C40"/>
    <mergeCell ref="D40:E40"/>
    <mergeCell ref="G32:G33"/>
    <mergeCell ref="N14:N16"/>
    <mergeCell ref="O19:Q19"/>
    <mergeCell ref="N20:N22"/>
    <mergeCell ref="B34:C34"/>
    <mergeCell ref="D34:E34"/>
    <mergeCell ref="B32:C33"/>
    <mergeCell ref="D32:E33"/>
    <mergeCell ref="O1:Q1"/>
    <mergeCell ref="N2:N4"/>
    <mergeCell ref="O7:Q7"/>
    <mergeCell ref="N8:N10"/>
    <mergeCell ref="O13:Q13"/>
    <mergeCell ref="B1:D1"/>
    <mergeCell ref="A2:A4"/>
    <mergeCell ref="E10:F12"/>
    <mergeCell ref="A18:A21"/>
    <mergeCell ref="B18:B21"/>
    <mergeCell ref="C18:C21"/>
    <mergeCell ref="D18:D21"/>
    <mergeCell ref="E18:E21"/>
    <mergeCell ref="F18:F21"/>
    <mergeCell ref="F32:F33"/>
    <mergeCell ref="B35:C35"/>
    <mergeCell ref="D35:E35"/>
    <mergeCell ref="A32:A33"/>
    <mergeCell ref="B38:C38"/>
  </mergeCells>
  <conditionalFormatting sqref="A55:E55 A56:B57 D56:D57 A58:E59">
    <cfRule type="cellIs" dxfId="186" priority="5" operator="equal">
      <formula>1</formula>
    </cfRule>
    <cfRule type="cellIs" dxfId="185" priority="6" operator="equal">
      <formula>2</formula>
    </cfRule>
    <cfRule type="cellIs" dxfId="184" priority="7" operator="equal">
      <formula>1</formula>
    </cfRule>
    <cfRule type="cellIs" dxfId="183" priority="8" operator="equal">
      <formula>2</formula>
    </cfRule>
  </conditionalFormatting>
  <conditionalFormatting sqref="H1:K55">
    <cfRule type="cellIs" dxfId="182" priority="9" operator="equal">
      <formula>1</formula>
    </cfRule>
    <cfRule type="cellIs" dxfId="181" priority="10" operator="equal">
      <formula>2</formula>
    </cfRule>
  </conditionalFormatting>
  <conditionalFormatting sqref="A43:B44 A45:E46 D42:D44 B42">
    <cfRule type="cellIs" dxfId="99" priority="1" operator="equal">
      <formula>1</formula>
    </cfRule>
    <cfRule type="cellIs" dxfId="98" priority="2" operator="equal">
      <formula>2</formula>
    </cfRule>
    <cfRule type="cellIs" dxfId="97" priority="3" operator="equal">
      <formula>1</formula>
    </cfRule>
    <cfRule type="cellIs" dxfId="96" priority="4" operator="equal">
      <formula>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4FE3-3370-4BAF-9241-26B22EF66DD3}">
  <dimension ref="A1:W59"/>
  <sheetViews>
    <sheetView topLeftCell="A28" workbookViewId="0">
      <selection activeCell="D41" sqref="D41:E41"/>
    </sheetView>
  </sheetViews>
  <sheetFormatPr defaultRowHeight="14.4" x14ac:dyDescent="0.3"/>
  <sheetData>
    <row r="1" spans="1:23" x14ac:dyDescent="0.3">
      <c r="A1" s="5"/>
      <c r="B1" s="53" t="s">
        <v>90</v>
      </c>
      <c r="C1" s="53"/>
      <c r="D1" s="53"/>
      <c r="E1" s="5"/>
      <c r="H1">
        <v>2</v>
      </c>
      <c r="I1">
        <v>1</v>
      </c>
      <c r="J1">
        <v>2</v>
      </c>
      <c r="N1" s="5" t="s">
        <v>113</v>
      </c>
      <c r="O1" s="53" t="s">
        <v>90</v>
      </c>
      <c r="P1" s="53"/>
      <c r="Q1" s="53"/>
      <c r="R1" s="5"/>
      <c r="T1" s="9" t="s">
        <v>83</v>
      </c>
      <c r="U1" s="9" t="s">
        <v>84</v>
      </c>
      <c r="V1" s="9" t="s">
        <v>85</v>
      </c>
      <c r="W1" s="9" t="s">
        <v>86</v>
      </c>
    </row>
    <row r="2" spans="1:23" x14ac:dyDescent="0.3">
      <c r="A2" s="53" t="s">
        <v>89</v>
      </c>
      <c r="B2" s="5"/>
      <c r="C2" s="5" t="s">
        <v>87</v>
      </c>
      <c r="D2" s="5" t="s">
        <v>23</v>
      </c>
      <c r="E2" s="5" t="s">
        <v>88</v>
      </c>
      <c r="H2">
        <v>1</v>
      </c>
      <c r="I2">
        <v>1</v>
      </c>
      <c r="J2">
        <v>2</v>
      </c>
      <c r="N2" s="53" t="s">
        <v>89</v>
      </c>
      <c r="O2" s="5"/>
      <c r="P2" s="5" t="s">
        <v>87</v>
      </c>
      <c r="Q2" s="5" t="s">
        <v>23</v>
      </c>
      <c r="R2" s="5" t="s">
        <v>88</v>
      </c>
      <c r="T2" s="40">
        <f>P3/(P3+Q3)</f>
        <v>0.34615384615384615</v>
      </c>
      <c r="U2" s="40">
        <f>1-T2</f>
        <v>0.65384615384615385</v>
      </c>
      <c r="V2" s="40">
        <f>Q4/(Q4+P4)</f>
        <v>0.30769230769230771</v>
      </c>
      <c r="W2" s="40">
        <f>1-V2</f>
        <v>0.69230769230769229</v>
      </c>
    </row>
    <row r="3" spans="1:23" x14ac:dyDescent="0.3">
      <c r="A3" s="53"/>
      <c r="B3" s="5" t="s">
        <v>87</v>
      </c>
      <c r="C3" s="7">
        <v>32</v>
      </c>
      <c r="D3" s="7">
        <v>43</v>
      </c>
      <c r="E3" s="7">
        <f>C3+D3</f>
        <v>75</v>
      </c>
      <c r="H3">
        <v>2</v>
      </c>
      <c r="I3">
        <v>1</v>
      </c>
      <c r="J3">
        <v>2</v>
      </c>
      <c r="N3" s="53"/>
      <c r="O3" s="5" t="s">
        <v>87</v>
      </c>
      <c r="P3" s="7">
        <v>9</v>
      </c>
      <c r="Q3" s="7">
        <v>17</v>
      </c>
      <c r="R3" s="7">
        <f>P3+Q3</f>
        <v>26</v>
      </c>
    </row>
    <row r="4" spans="1:23" x14ac:dyDescent="0.3">
      <c r="A4" s="53"/>
      <c r="B4" s="5" t="s">
        <v>23</v>
      </c>
      <c r="C4" s="7">
        <v>45</v>
      </c>
      <c r="D4" s="7">
        <v>22</v>
      </c>
      <c r="E4" s="7">
        <f>C4+D4</f>
        <v>67</v>
      </c>
      <c r="H4">
        <v>2</v>
      </c>
      <c r="I4">
        <v>1</v>
      </c>
      <c r="J4">
        <v>2</v>
      </c>
      <c r="N4" s="53"/>
      <c r="O4" s="5" t="s">
        <v>23</v>
      </c>
      <c r="P4" s="7">
        <v>18</v>
      </c>
      <c r="Q4" s="7">
        <v>8</v>
      </c>
      <c r="R4" s="7">
        <f>P4+Q4</f>
        <v>26</v>
      </c>
    </row>
    <row r="5" spans="1:23" x14ac:dyDescent="0.3">
      <c r="A5" s="5" t="s">
        <v>88</v>
      </c>
      <c r="B5" s="5"/>
      <c r="C5" s="7">
        <f>C3+C4</f>
        <v>77</v>
      </c>
      <c r="D5" s="7">
        <f>D3+D4</f>
        <v>65</v>
      </c>
      <c r="E5" s="7">
        <f>E3+E4</f>
        <v>142</v>
      </c>
      <c r="H5">
        <v>2</v>
      </c>
      <c r="I5">
        <v>2</v>
      </c>
      <c r="J5">
        <v>2</v>
      </c>
      <c r="N5" s="5" t="s">
        <v>88</v>
      </c>
      <c r="O5" s="5"/>
      <c r="P5" s="7">
        <f>P3+P4</f>
        <v>27</v>
      </c>
      <c r="Q5" s="7">
        <f>Q3+Q4</f>
        <v>25</v>
      </c>
      <c r="R5" s="7">
        <f>R3+R4</f>
        <v>52</v>
      </c>
    </row>
    <row r="6" spans="1:23" x14ac:dyDescent="0.3">
      <c r="H6">
        <v>2</v>
      </c>
      <c r="I6">
        <v>1</v>
      </c>
      <c r="J6">
        <v>1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1</v>
      </c>
      <c r="I7">
        <v>1</v>
      </c>
      <c r="J7">
        <v>2</v>
      </c>
      <c r="N7" s="5" t="s">
        <v>114</v>
      </c>
      <c r="O7" s="53" t="s">
        <v>90</v>
      </c>
      <c r="P7" s="53"/>
      <c r="Q7" s="53"/>
      <c r="R7" s="5"/>
      <c r="T7" s="9" t="s">
        <v>83</v>
      </c>
      <c r="U7" s="9" t="s">
        <v>84</v>
      </c>
      <c r="V7" s="9" t="s">
        <v>85</v>
      </c>
      <c r="W7" s="9" t="s">
        <v>86</v>
      </c>
    </row>
    <row r="8" spans="1:23" x14ac:dyDescent="0.3">
      <c r="A8" s="8">
        <f>C3/C5</f>
        <v>0.41558441558441561</v>
      </c>
      <c r="B8" s="8">
        <f>1-A8</f>
        <v>0.58441558441558439</v>
      </c>
      <c r="C8" s="8">
        <f>D4/E4</f>
        <v>0.32835820895522388</v>
      </c>
      <c r="D8" s="8">
        <f>1-C8</f>
        <v>0.67164179104477606</v>
      </c>
      <c r="H8">
        <v>2</v>
      </c>
      <c r="I8">
        <v>2</v>
      </c>
      <c r="J8">
        <v>1</v>
      </c>
      <c r="N8" s="53" t="s">
        <v>89</v>
      </c>
      <c r="O8" s="5"/>
      <c r="P8" s="5" t="s">
        <v>87</v>
      </c>
      <c r="Q8" s="5" t="s">
        <v>23</v>
      </c>
      <c r="R8" s="5" t="s">
        <v>88</v>
      </c>
      <c r="T8" s="40">
        <f>P9/(P9+Q9)</f>
        <v>0.56000000000000005</v>
      </c>
      <c r="U8" s="40">
        <f>1-T8</f>
        <v>0.43999999999999995</v>
      </c>
      <c r="V8" s="40">
        <f>Q10/(Q10+P10)</f>
        <v>0.3888888888888889</v>
      </c>
      <c r="W8" s="40">
        <f>1-V8</f>
        <v>0.61111111111111116</v>
      </c>
    </row>
    <row r="9" spans="1:23" x14ac:dyDescent="0.3">
      <c r="H9">
        <v>2</v>
      </c>
      <c r="I9">
        <v>1</v>
      </c>
      <c r="J9">
        <v>1</v>
      </c>
      <c r="N9" s="53"/>
      <c r="O9" s="5" t="s">
        <v>87</v>
      </c>
      <c r="P9" s="7">
        <v>14</v>
      </c>
      <c r="Q9" s="7">
        <v>11</v>
      </c>
      <c r="R9" s="7">
        <f>P9+Q9</f>
        <v>25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1</v>
      </c>
      <c r="I10">
        <v>2</v>
      </c>
      <c r="J10">
        <v>2</v>
      </c>
      <c r="N10" s="53"/>
      <c r="O10" s="5" t="s">
        <v>23</v>
      </c>
      <c r="P10" s="7">
        <v>11</v>
      </c>
      <c r="Q10" s="7">
        <v>7</v>
      </c>
      <c r="R10" s="7">
        <f>P10+Q10</f>
        <v>18</v>
      </c>
    </row>
    <row r="11" spans="1:23" x14ac:dyDescent="0.3">
      <c r="A11" s="43">
        <f>C3/E3</f>
        <v>0.42666666666666669</v>
      </c>
      <c r="B11" s="43">
        <f>1-A11</f>
        <v>0.57333333333333325</v>
      </c>
      <c r="C11" s="43">
        <f>D4/E4</f>
        <v>0.32835820895522388</v>
      </c>
      <c r="D11" s="43">
        <f>1-C11</f>
        <v>0.67164179104477606</v>
      </c>
      <c r="E11" s="59"/>
      <c r="F11" s="59"/>
      <c r="H11">
        <v>2</v>
      </c>
      <c r="I11">
        <v>1</v>
      </c>
      <c r="J11">
        <v>1</v>
      </c>
      <c r="N11" s="5" t="s">
        <v>88</v>
      </c>
      <c r="O11" s="5"/>
      <c r="P11" s="7">
        <f>P9+P10</f>
        <v>25</v>
      </c>
      <c r="Q11" s="7">
        <f>Q9+Q10</f>
        <v>18</v>
      </c>
      <c r="R11" s="7">
        <f>R9+R10</f>
        <v>43</v>
      </c>
    </row>
    <row r="12" spans="1:23" x14ac:dyDescent="0.3">
      <c r="E12" s="59"/>
      <c r="F12" s="59"/>
      <c r="H12">
        <v>1</v>
      </c>
      <c r="I12">
        <v>1</v>
      </c>
      <c r="J12">
        <v>1</v>
      </c>
    </row>
    <row r="13" spans="1:23" x14ac:dyDescent="0.3">
      <c r="H13">
        <v>2</v>
      </c>
      <c r="I13">
        <v>2</v>
      </c>
      <c r="J13">
        <v>1</v>
      </c>
      <c r="N13" s="5" t="s">
        <v>115</v>
      </c>
      <c r="O13" s="53" t="s">
        <v>90</v>
      </c>
      <c r="P13" s="53"/>
      <c r="Q13" s="53"/>
      <c r="R13" s="5"/>
      <c r="T13" s="9" t="s">
        <v>83</v>
      </c>
      <c r="U13" s="9" t="s">
        <v>84</v>
      </c>
      <c r="V13" s="9" t="s">
        <v>85</v>
      </c>
      <c r="W13" s="9" t="s">
        <v>86</v>
      </c>
    </row>
    <row r="14" spans="1:23" x14ac:dyDescent="0.3">
      <c r="H14">
        <v>1</v>
      </c>
      <c r="I14">
        <v>2</v>
      </c>
      <c r="J14">
        <v>2</v>
      </c>
      <c r="N14" s="53" t="s">
        <v>89</v>
      </c>
      <c r="O14" s="5"/>
      <c r="P14" s="5" t="s">
        <v>87</v>
      </c>
      <c r="Q14" s="5" t="s">
        <v>23</v>
      </c>
      <c r="R14" s="5" t="s">
        <v>88</v>
      </c>
      <c r="T14" s="40">
        <f>P15/(P15+Q15)</f>
        <v>0.375</v>
      </c>
      <c r="U14" s="40">
        <f>1-T14</f>
        <v>0.625</v>
      </c>
      <c r="V14" s="40">
        <f>Q16/(Q16+P16)</f>
        <v>0.30434782608695654</v>
      </c>
      <c r="W14" s="40">
        <f>1-V14</f>
        <v>0.69565217391304346</v>
      </c>
    </row>
    <row r="15" spans="1:23" x14ac:dyDescent="0.3">
      <c r="H15">
        <v>2</v>
      </c>
      <c r="I15">
        <v>2</v>
      </c>
      <c r="J15">
        <v>1</v>
      </c>
      <c r="N15" s="53"/>
      <c r="O15" s="5" t="s">
        <v>87</v>
      </c>
      <c r="P15" s="7">
        <v>9</v>
      </c>
      <c r="Q15" s="7">
        <v>15</v>
      </c>
      <c r="R15" s="7">
        <f>P15+Q15</f>
        <v>24</v>
      </c>
    </row>
    <row r="16" spans="1:23" x14ac:dyDescent="0.3">
      <c r="H16">
        <v>1</v>
      </c>
      <c r="I16">
        <v>1</v>
      </c>
      <c r="J16">
        <v>1</v>
      </c>
      <c r="N16" s="53"/>
      <c r="O16" s="5" t="s">
        <v>23</v>
      </c>
      <c r="P16" s="7">
        <v>16</v>
      </c>
      <c r="Q16" s="7">
        <v>7</v>
      </c>
      <c r="R16" s="7">
        <f>P16+Q16</f>
        <v>23</v>
      </c>
    </row>
    <row r="17" spans="1:18" x14ac:dyDescent="0.3">
      <c r="H17">
        <v>1</v>
      </c>
      <c r="I17">
        <v>2</v>
      </c>
      <c r="J17">
        <v>1</v>
      </c>
      <c r="N17" s="5" t="s">
        <v>88</v>
      </c>
      <c r="O17" s="5"/>
      <c r="P17" s="7">
        <f>P15+P16</f>
        <v>25</v>
      </c>
      <c r="Q17" s="7">
        <f>Q15+Q16</f>
        <v>22</v>
      </c>
      <c r="R17" s="7">
        <f>R15+R16</f>
        <v>47</v>
      </c>
    </row>
    <row r="18" spans="1:18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2</v>
      </c>
      <c r="I18">
        <v>2</v>
      </c>
      <c r="J18">
        <v>2</v>
      </c>
    </row>
    <row r="19" spans="1:18" x14ac:dyDescent="0.3">
      <c r="A19" s="54"/>
      <c r="B19" s="54"/>
      <c r="C19" s="69"/>
      <c r="D19" s="54"/>
      <c r="E19" s="54"/>
      <c r="F19" s="54"/>
      <c r="H19">
        <v>2</v>
      </c>
      <c r="I19">
        <v>1</v>
      </c>
      <c r="J19">
        <v>1</v>
      </c>
    </row>
    <row r="20" spans="1:18" x14ac:dyDescent="0.3">
      <c r="A20" s="54"/>
      <c r="B20" s="54"/>
      <c r="C20" s="69"/>
      <c r="D20" s="54"/>
      <c r="E20" s="54"/>
      <c r="F20" s="54"/>
      <c r="H20">
        <v>1</v>
      </c>
      <c r="I20">
        <v>1</v>
      </c>
      <c r="J20">
        <v>1</v>
      </c>
    </row>
    <row r="21" spans="1:18" x14ac:dyDescent="0.3">
      <c r="A21" s="54"/>
      <c r="B21" s="54"/>
      <c r="C21" s="70"/>
      <c r="D21" s="54"/>
      <c r="E21" s="54"/>
      <c r="F21" s="54"/>
      <c r="H21">
        <v>1</v>
      </c>
      <c r="I21">
        <v>1</v>
      </c>
      <c r="J21">
        <v>2</v>
      </c>
    </row>
    <row r="22" spans="1:18" x14ac:dyDescent="0.3">
      <c r="A22" s="37">
        <v>1</v>
      </c>
      <c r="B22" s="37">
        <v>57</v>
      </c>
      <c r="C22" s="40">
        <f>($C$4*$D$11*$A$11^0)+($D$3*$B$11*$C$11^0)</f>
        <v>54.877213930348248</v>
      </c>
      <c r="D22" s="37">
        <v>58.107999999999997</v>
      </c>
      <c r="E22" s="5" t="s">
        <v>125</v>
      </c>
      <c r="F22" s="5" t="s">
        <v>125</v>
      </c>
      <c r="H22">
        <v>2</v>
      </c>
      <c r="I22">
        <v>1</v>
      </c>
      <c r="J22">
        <v>1</v>
      </c>
    </row>
    <row r="23" spans="1:18" x14ac:dyDescent="0.3">
      <c r="A23" s="37">
        <v>2</v>
      </c>
      <c r="B23" s="37">
        <v>20</v>
      </c>
      <c r="C23" s="40">
        <f>($C$4*$D$11*$A$11^1)+($D$3*$B$11*$C$11^1)</f>
        <v>20.990646766169153</v>
      </c>
      <c r="D23" s="37">
        <v>20.818000000000001</v>
      </c>
      <c r="E23" s="5" t="s">
        <v>125</v>
      </c>
      <c r="F23" s="5" t="s">
        <v>125</v>
      </c>
      <c r="H23">
        <v>1</v>
      </c>
      <c r="I23">
        <v>1</v>
      </c>
      <c r="J23">
        <v>1</v>
      </c>
    </row>
    <row r="24" spans="1:18" x14ac:dyDescent="0.3">
      <c r="A24" s="37">
        <v>3</v>
      </c>
      <c r="B24" s="37">
        <v>9</v>
      </c>
      <c r="C24" s="40">
        <f>($C$4*$D$11*$A$11^2)+($D$3*$B$11*$C$11^2)</f>
        <v>8.1601900943045962</v>
      </c>
      <c r="D24" s="37">
        <v>7.3289999999999997</v>
      </c>
      <c r="E24" s="37">
        <v>5</v>
      </c>
      <c r="F24" s="5">
        <v>4</v>
      </c>
      <c r="H24">
        <v>1</v>
      </c>
      <c r="I24">
        <v>1</v>
      </c>
      <c r="J24">
        <v>2</v>
      </c>
    </row>
    <row r="25" spans="1:18" x14ac:dyDescent="0.3">
      <c r="A25" s="37">
        <v>4</v>
      </c>
      <c r="B25" s="37">
        <v>3</v>
      </c>
      <c r="C25" s="40">
        <f>($C$4*$D$11*$A$11^3)+($D$3*$B$11*$C$11^3)</f>
        <v>3.220367342170857</v>
      </c>
      <c r="D25" s="37">
        <v>2.6589999999999998</v>
      </c>
      <c r="E25" s="5">
        <v>1</v>
      </c>
      <c r="F25" s="5">
        <v>2</v>
      </c>
      <c r="H25">
        <v>1</v>
      </c>
      <c r="I25">
        <v>2</v>
      </c>
      <c r="J25">
        <v>1</v>
      </c>
    </row>
    <row r="26" spans="1:18" x14ac:dyDescent="0.3">
      <c r="A26" s="37">
        <v>5</v>
      </c>
      <c r="B26" s="37">
        <v>0</v>
      </c>
      <c r="C26" s="40">
        <f>($C$4*$D$11*$A$11^4)+($D$3*$B$11*$C$11^4)</f>
        <v>1.2882188795633425</v>
      </c>
      <c r="D26" s="37">
        <v>1.0229999999999999</v>
      </c>
      <c r="E26" s="5">
        <v>0</v>
      </c>
      <c r="F26" s="5">
        <v>0</v>
      </c>
      <c r="H26">
        <v>2</v>
      </c>
      <c r="I26">
        <v>1</v>
      </c>
      <c r="J26">
        <v>2</v>
      </c>
    </row>
    <row r="27" spans="1:18" x14ac:dyDescent="0.3">
      <c r="A27" s="37">
        <v>6</v>
      </c>
      <c r="B27" s="37">
        <v>1</v>
      </c>
      <c r="C27" s="40">
        <f>($C$4*$D$11*$A$11^5)+($D$3*$B$11*$C$11^5)</f>
        <v>0.52146543685075375</v>
      </c>
      <c r="D27" s="37">
        <v>0.39</v>
      </c>
      <c r="E27" s="5">
        <v>1</v>
      </c>
      <c r="F27" s="5">
        <v>0</v>
      </c>
      <c r="H27">
        <v>1</v>
      </c>
      <c r="I27">
        <v>2</v>
      </c>
      <c r="J27">
        <v>1</v>
      </c>
    </row>
    <row r="28" spans="1:18" x14ac:dyDescent="0.3">
      <c r="A28" s="37">
        <v>7</v>
      </c>
      <c r="B28" s="37">
        <v>0</v>
      </c>
      <c r="C28" s="40">
        <f>($C$4*$D$11*$A$11^6)+($D$3*$B$11*$C$11^6)</f>
        <v>0.21324055247744611</v>
      </c>
      <c r="D28" s="37">
        <v>0.17299999999999999</v>
      </c>
      <c r="E28" s="5">
        <v>0</v>
      </c>
      <c r="F28" s="5">
        <v>0</v>
      </c>
      <c r="H28">
        <v>1</v>
      </c>
      <c r="I28">
        <v>1</v>
      </c>
      <c r="J28">
        <v>2</v>
      </c>
    </row>
    <row r="29" spans="1:18" x14ac:dyDescent="0.3">
      <c r="A29" s="37">
        <v>8</v>
      </c>
      <c r="B29" s="37">
        <v>0</v>
      </c>
      <c r="C29" s="40">
        <f>($C$4*$D$11*$A$11^7)+($D$3*$B$11*$C$11^7)</f>
        <v>8.794487334457711E-2</v>
      </c>
      <c r="D29" s="37">
        <v>7.0000000000000007E-2</v>
      </c>
      <c r="E29" s="5">
        <v>0</v>
      </c>
      <c r="F29" s="5">
        <v>0</v>
      </c>
      <c r="H29">
        <v>2</v>
      </c>
      <c r="I29">
        <v>2</v>
      </c>
      <c r="J29">
        <v>1</v>
      </c>
    </row>
    <row r="30" spans="1:18" x14ac:dyDescent="0.3">
      <c r="A30" s="37" t="s">
        <v>103</v>
      </c>
      <c r="B30" s="37">
        <v>0</v>
      </c>
      <c r="C30" s="40">
        <f>($C$4*$D$11*$A$11^8)+($D$3*$B$11*$C$11^8)</f>
        <v>3.6525671746309142E-2</v>
      </c>
      <c r="D30" s="37">
        <v>4.2999999999999997E-2</v>
      </c>
      <c r="E30" s="5">
        <v>0</v>
      </c>
      <c r="F30" s="5">
        <v>0</v>
      </c>
      <c r="H30">
        <v>2</v>
      </c>
      <c r="I30">
        <v>2</v>
      </c>
      <c r="J30">
        <v>1</v>
      </c>
    </row>
    <row r="31" spans="1:18" x14ac:dyDescent="0.3">
      <c r="H31">
        <v>2</v>
      </c>
      <c r="I31">
        <v>2</v>
      </c>
      <c r="J31">
        <v>2</v>
      </c>
    </row>
    <row r="32" spans="1:18" ht="14.4" customHeight="1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1</v>
      </c>
      <c r="I32">
        <v>1</v>
      </c>
      <c r="J32">
        <v>1</v>
      </c>
    </row>
    <row r="33" spans="1:10" x14ac:dyDescent="0.3">
      <c r="A33" s="53"/>
      <c r="B33" s="54"/>
      <c r="C33" s="54"/>
      <c r="D33" s="54"/>
      <c r="E33" s="54"/>
      <c r="F33" s="53"/>
      <c r="G33" s="53"/>
      <c r="H33">
        <v>1</v>
      </c>
      <c r="I33">
        <v>1</v>
      </c>
      <c r="J33">
        <v>2</v>
      </c>
    </row>
    <row r="34" spans="1:10" x14ac:dyDescent="0.3">
      <c r="A34" s="5" t="s">
        <v>87</v>
      </c>
      <c r="B34" s="64">
        <f>E24+E25+E26+E27+E28+E29+E30</f>
        <v>7</v>
      </c>
      <c r="C34" s="65"/>
      <c r="D34" s="66">
        <f>E24*1+E25*2+E26*3+E27*4+E28*5+E29*6+E30*7</f>
        <v>11</v>
      </c>
      <c r="E34" s="67"/>
      <c r="F34" s="48">
        <f>B34/D34</f>
        <v>0.63636363636363635</v>
      </c>
      <c r="G34" s="49">
        <f>F34</f>
        <v>0.63636363636363635</v>
      </c>
      <c r="H34">
        <v>2</v>
      </c>
      <c r="I34">
        <v>2</v>
      </c>
      <c r="J34">
        <v>1</v>
      </c>
    </row>
    <row r="35" spans="1:10" x14ac:dyDescent="0.3">
      <c r="A35" s="5" t="s">
        <v>23</v>
      </c>
      <c r="B35" s="64">
        <f>F24+F25+F26+F27+F28+F29+F30</f>
        <v>6</v>
      </c>
      <c r="C35" s="65"/>
      <c r="D35" s="66">
        <f>F24*1+F25*2+F26*3+F27*4+F28*5+F29*6+F30*7</f>
        <v>8</v>
      </c>
      <c r="E35" s="67"/>
      <c r="F35" s="48">
        <f>B35/D35</f>
        <v>0.75</v>
      </c>
      <c r="G35" s="49">
        <f>F35</f>
        <v>0.75</v>
      </c>
      <c r="H35">
        <v>2</v>
      </c>
      <c r="I35">
        <v>2</v>
      </c>
      <c r="J35">
        <v>2</v>
      </c>
    </row>
    <row r="36" spans="1:10" x14ac:dyDescent="0.3">
      <c r="H36">
        <v>1</v>
      </c>
      <c r="I36">
        <v>1</v>
      </c>
      <c r="J36">
        <v>1</v>
      </c>
    </row>
    <row r="37" spans="1:10" x14ac:dyDescent="0.3">
      <c r="H37">
        <v>2</v>
      </c>
      <c r="I37">
        <v>2</v>
      </c>
      <c r="J37">
        <v>1</v>
      </c>
    </row>
    <row r="38" spans="1:10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1</v>
      </c>
      <c r="I38">
        <v>2</v>
      </c>
      <c r="J38">
        <v>2</v>
      </c>
    </row>
    <row r="39" spans="1:10" x14ac:dyDescent="0.3">
      <c r="A39" s="80" t="s">
        <v>87</v>
      </c>
      <c r="B39" s="83">
        <v>7</v>
      </c>
      <c r="C39" s="83"/>
      <c r="D39" s="92">
        <v>32</v>
      </c>
      <c r="E39" s="92"/>
      <c r="F39" s="82">
        <f>SUM(B39+D39)</f>
        <v>39</v>
      </c>
      <c r="H39">
        <v>2</v>
      </c>
      <c r="I39">
        <v>1</v>
      </c>
      <c r="J39">
        <v>2</v>
      </c>
    </row>
    <row r="40" spans="1:10" x14ac:dyDescent="0.3">
      <c r="A40" s="80" t="s">
        <v>23</v>
      </c>
      <c r="B40" s="83">
        <v>6</v>
      </c>
      <c r="C40" s="83"/>
      <c r="D40" s="92">
        <v>22</v>
      </c>
      <c r="E40" s="92"/>
      <c r="F40" s="82">
        <f>SUM(B40+D40)</f>
        <v>28</v>
      </c>
      <c r="H40">
        <v>1</v>
      </c>
      <c r="I40">
        <v>2</v>
      </c>
      <c r="J40">
        <v>1</v>
      </c>
    </row>
    <row r="41" spans="1:10" x14ac:dyDescent="0.3">
      <c r="A41" s="85"/>
      <c r="B41" s="86">
        <f>SUM(B39:B40)</f>
        <v>13</v>
      </c>
      <c r="C41" s="86"/>
      <c r="D41" s="87">
        <f>SUM(D39:D40)</f>
        <v>54</v>
      </c>
      <c r="E41" s="87"/>
      <c r="F41" s="82">
        <f>SUM(F39:F40)</f>
        <v>67</v>
      </c>
      <c r="H41">
        <v>2</v>
      </c>
      <c r="I41">
        <v>1</v>
      </c>
      <c r="J41">
        <v>2</v>
      </c>
    </row>
    <row r="42" spans="1:10" x14ac:dyDescent="0.3">
      <c r="A42" s="40"/>
      <c r="B42" s="84" t="s">
        <v>134</v>
      </c>
      <c r="C42" s="84"/>
      <c r="D42" s="84" t="s">
        <v>132</v>
      </c>
      <c r="E42" s="84"/>
      <c r="F42" s="73"/>
      <c r="H42">
        <v>1</v>
      </c>
      <c r="I42">
        <v>1</v>
      </c>
      <c r="J42">
        <v>1</v>
      </c>
    </row>
    <row r="43" spans="1:10" x14ac:dyDescent="0.3">
      <c r="A43" s="82" t="s">
        <v>87</v>
      </c>
      <c r="B43" s="81">
        <f>B41*F39/F41</f>
        <v>7.5671641791044779</v>
      </c>
      <c r="C43" s="81"/>
      <c r="D43" s="81">
        <f>D41*F39/F41</f>
        <v>31.432835820895523</v>
      </c>
      <c r="E43" s="81"/>
      <c r="F43" s="73"/>
      <c r="H43">
        <v>1</v>
      </c>
      <c r="I43">
        <v>1</v>
      </c>
      <c r="J43">
        <v>2</v>
      </c>
    </row>
    <row r="44" spans="1:10" x14ac:dyDescent="0.3">
      <c r="A44" s="82" t="s">
        <v>23</v>
      </c>
      <c r="B44" s="81">
        <f>B41*F40/F41</f>
        <v>5.4328358208955221</v>
      </c>
      <c r="C44" s="81"/>
      <c r="D44" s="81">
        <f>D41*F40/F41</f>
        <v>22.567164179104477</v>
      </c>
      <c r="E44" s="81"/>
      <c r="F44" s="73"/>
      <c r="H44">
        <v>1</v>
      </c>
      <c r="I44">
        <v>1</v>
      </c>
      <c r="J44">
        <v>1</v>
      </c>
    </row>
    <row r="45" spans="1:10" x14ac:dyDescent="0.3">
      <c r="A45" s="88"/>
      <c r="B45" s="88"/>
      <c r="C45" s="88"/>
      <c r="D45" s="88"/>
      <c r="E45" s="88"/>
      <c r="F45" s="73"/>
      <c r="H45">
        <v>2</v>
      </c>
      <c r="J45">
        <v>2</v>
      </c>
    </row>
    <row r="46" spans="1:10" x14ac:dyDescent="0.3">
      <c r="A46" s="88" t="s">
        <v>135</v>
      </c>
      <c r="B46" s="89">
        <f>CHITEST(B39:E40,B43:E44)</f>
        <v>0.98851692182202944</v>
      </c>
      <c r="C46" s="88"/>
      <c r="D46" s="88"/>
      <c r="E46" s="88"/>
      <c r="F46" s="73"/>
      <c r="H46">
        <v>1</v>
      </c>
      <c r="J46">
        <v>2</v>
      </c>
    </row>
    <row r="47" spans="1:10" x14ac:dyDescent="0.3">
      <c r="H47">
        <v>2</v>
      </c>
      <c r="J47">
        <v>2</v>
      </c>
    </row>
    <row r="48" spans="1:10" x14ac:dyDescent="0.3">
      <c r="H48">
        <v>1</v>
      </c>
      <c r="J48">
        <v>1</v>
      </c>
    </row>
    <row r="49" spans="1:8" x14ac:dyDescent="0.3">
      <c r="H49">
        <v>2</v>
      </c>
    </row>
    <row r="50" spans="1:8" x14ac:dyDescent="0.3">
      <c r="A50" s="71"/>
      <c r="B50" s="72"/>
      <c r="C50" s="72"/>
      <c r="D50" s="91"/>
      <c r="E50" s="91"/>
      <c r="F50" s="75"/>
      <c r="H50">
        <v>1</v>
      </c>
    </row>
    <row r="51" spans="1:8" x14ac:dyDescent="0.3">
      <c r="A51" s="72"/>
      <c r="B51" s="72"/>
      <c r="C51" s="72"/>
      <c r="D51" s="91"/>
      <c r="E51" s="91"/>
      <c r="F51" s="75"/>
      <c r="H51">
        <v>2</v>
      </c>
    </row>
    <row r="52" spans="1:8" x14ac:dyDescent="0.3">
      <c r="A52" s="72"/>
      <c r="B52" s="93"/>
      <c r="C52" s="93"/>
      <c r="D52" s="94"/>
      <c r="E52" s="94"/>
      <c r="F52" s="73"/>
      <c r="H52">
        <v>1</v>
      </c>
    </row>
    <row r="53" spans="1:8" x14ac:dyDescent="0.3">
      <c r="A53" s="72"/>
      <c r="B53" s="93"/>
      <c r="C53" s="93"/>
      <c r="D53" s="94"/>
      <c r="E53" s="94"/>
      <c r="F53" s="73"/>
      <c r="H53">
        <v>1</v>
      </c>
    </row>
    <row r="54" spans="1:8" x14ac:dyDescent="0.3">
      <c r="A54" s="71"/>
      <c r="B54" s="71"/>
      <c r="C54" s="74"/>
      <c r="D54" s="74"/>
      <c r="E54" s="74"/>
      <c r="F54" s="73"/>
    </row>
    <row r="55" spans="1:8" x14ac:dyDescent="0.3">
      <c r="A55" s="73"/>
      <c r="B55" s="73"/>
      <c r="C55" s="73"/>
      <c r="D55" s="73"/>
      <c r="E55" s="73"/>
      <c r="F55" s="73"/>
    </row>
    <row r="56" spans="1:8" x14ac:dyDescent="0.3">
      <c r="A56" s="73"/>
      <c r="B56" s="90"/>
      <c r="C56" s="90"/>
      <c r="D56" s="90"/>
      <c r="E56" s="90"/>
      <c r="F56" s="73"/>
    </row>
    <row r="57" spans="1:8" x14ac:dyDescent="0.3">
      <c r="A57" s="73"/>
      <c r="B57" s="90"/>
      <c r="C57" s="90"/>
      <c r="D57" s="90"/>
      <c r="E57" s="90"/>
      <c r="F57" s="73"/>
    </row>
    <row r="58" spans="1:8" x14ac:dyDescent="0.3">
      <c r="A58" s="73"/>
      <c r="B58" s="73"/>
      <c r="C58" s="73"/>
      <c r="D58" s="73"/>
      <c r="E58" s="73"/>
      <c r="F58" s="73"/>
    </row>
    <row r="59" spans="1:8" x14ac:dyDescent="0.3">
      <c r="A59" s="73"/>
      <c r="B59" s="73"/>
      <c r="C59" s="73"/>
      <c r="D59" s="73"/>
      <c r="E59" s="73"/>
      <c r="F59" s="73"/>
    </row>
  </sheetData>
  <mergeCells count="38">
    <mergeCell ref="B44:C44"/>
    <mergeCell ref="D44:E44"/>
    <mergeCell ref="B41:C41"/>
    <mergeCell ref="D41:E41"/>
    <mergeCell ref="B42:C42"/>
    <mergeCell ref="D42:E42"/>
    <mergeCell ref="B43:C43"/>
    <mergeCell ref="D43:E43"/>
    <mergeCell ref="B38:C38"/>
    <mergeCell ref="D38:E38"/>
    <mergeCell ref="B39:C39"/>
    <mergeCell ref="D39:E39"/>
    <mergeCell ref="B40:C40"/>
    <mergeCell ref="D40:E40"/>
    <mergeCell ref="A32:A33"/>
    <mergeCell ref="B32:C33"/>
    <mergeCell ref="D32:E33"/>
    <mergeCell ref="G32:G33"/>
    <mergeCell ref="O1:Q1"/>
    <mergeCell ref="N2:N4"/>
    <mergeCell ref="O7:Q7"/>
    <mergeCell ref="N8:N10"/>
    <mergeCell ref="O13:Q13"/>
    <mergeCell ref="N14:N16"/>
    <mergeCell ref="B1:D1"/>
    <mergeCell ref="A2:A4"/>
    <mergeCell ref="E10:F12"/>
    <mergeCell ref="A18:A21"/>
    <mergeCell ref="B18:B21"/>
    <mergeCell ref="C18:C21"/>
    <mergeCell ref="D18:D21"/>
    <mergeCell ref="E18:E21"/>
    <mergeCell ref="F18:F21"/>
    <mergeCell ref="F32:F33"/>
    <mergeCell ref="B34:C34"/>
    <mergeCell ref="D34:E34"/>
    <mergeCell ref="B35:C35"/>
    <mergeCell ref="D35:E35"/>
  </mergeCells>
  <conditionalFormatting sqref="A55:E55 A56:B57 D56:D57 A58:E59">
    <cfRule type="cellIs" dxfId="180" priority="5" operator="equal">
      <formula>1</formula>
    </cfRule>
    <cfRule type="cellIs" dxfId="179" priority="6" operator="equal">
      <formula>2</formula>
    </cfRule>
    <cfRule type="cellIs" dxfId="178" priority="7" operator="equal">
      <formula>1</formula>
    </cfRule>
    <cfRule type="cellIs" dxfId="177" priority="8" operator="equal">
      <formula>2</formula>
    </cfRule>
  </conditionalFormatting>
  <conditionalFormatting sqref="H1:J54">
    <cfRule type="cellIs" dxfId="176" priority="9" operator="equal">
      <formula>1</formula>
    </cfRule>
    <cfRule type="cellIs" dxfId="175" priority="10" operator="equal">
      <formula>2</formula>
    </cfRule>
  </conditionalFormatting>
  <conditionalFormatting sqref="A43:B44 A45:E46 D42:D44 B42">
    <cfRule type="cellIs" dxfId="95" priority="1" operator="equal">
      <formula>1</formula>
    </cfRule>
    <cfRule type="cellIs" dxfId="94" priority="2" operator="equal">
      <formula>2</formula>
    </cfRule>
    <cfRule type="cellIs" dxfId="93" priority="3" operator="equal">
      <formula>1</formula>
    </cfRule>
    <cfRule type="cellIs" dxfId="92" priority="4" operator="equal">
      <formula>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664F-2E8D-4CAF-B2AB-BA06752C9071}">
  <dimension ref="A1:W59"/>
  <sheetViews>
    <sheetView topLeftCell="A28" workbookViewId="0">
      <selection activeCell="D45" sqref="D45"/>
    </sheetView>
  </sheetViews>
  <sheetFormatPr defaultRowHeight="14.4" x14ac:dyDescent="0.3"/>
  <sheetData>
    <row r="1" spans="1:23" x14ac:dyDescent="0.3">
      <c r="A1" s="5"/>
      <c r="B1" s="53" t="s">
        <v>90</v>
      </c>
      <c r="C1" s="53"/>
      <c r="D1" s="53"/>
      <c r="E1" s="5"/>
      <c r="H1">
        <v>1</v>
      </c>
      <c r="I1">
        <v>2</v>
      </c>
      <c r="J1">
        <v>1</v>
      </c>
      <c r="N1" s="5" t="s">
        <v>113</v>
      </c>
      <c r="O1" s="53" t="s">
        <v>90</v>
      </c>
      <c r="P1" s="53"/>
      <c r="Q1" s="53"/>
      <c r="R1" s="5"/>
      <c r="T1" s="9" t="s">
        <v>83</v>
      </c>
      <c r="U1" s="9" t="s">
        <v>84</v>
      </c>
      <c r="V1" s="9" t="s">
        <v>85</v>
      </c>
      <c r="W1" s="9" t="s">
        <v>86</v>
      </c>
    </row>
    <row r="2" spans="1:23" x14ac:dyDescent="0.3">
      <c r="A2" s="53" t="s">
        <v>89</v>
      </c>
      <c r="B2" s="5"/>
      <c r="C2" s="5" t="s">
        <v>87</v>
      </c>
      <c r="D2" s="5" t="s">
        <v>98</v>
      </c>
      <c r="E2" s="5" t="s">
        <v>88</v>
      </c>
      <c r="H2">
        <v>2</v>
      </c>
      <c r="I2">
        <v>1</v>
      </c>
      <c r="J2">
        <v>1</v>
      </c>
      <c r="N2" s="53" t="s">
        <v>89</v>
      </c>
      <c r="O2" s="5"/>
      <c r="P2" s="5" t="s">
        <v>87</v>
      </c>
      <c r="Q2" s="5" t="s">
        <v>98</v>
      </c>
      <c r="R2" s="5" t="s">
        <v>88</v>
      </c>
      <c r="T2" s="40">
        <f>P3/(P3+Q3)</f>
        <v>0.27272727272727271</v>
      </c>
      <c r="U2" s="40">
        <f>1-T2</f>
        <v>0.72727272727272729</v>
      </c>
      <c r="V2" s="40">
        <f>Q4/(Q4+P4)</f>
        <v>0.375</v>
      </c>
      <c r="W2" s="40">
        <f>1-V2</f>
        <v>0.625</v>
      </c>
    </row>
    <row r="3" spans="1:23" x14ac:dyDescent="0.3">
      <c r="A3" s="53"/>
      <c r="B3" s="5" t="s">
        <v>87</v>
      </c>
      <c r="C3" s="7">
        <v>19</v>
      </c>
      <c r="D3" s="7">
        <v>47</v>
      </c>
      <c r="E3" s="7">
        <f>C3+D3</f>
        <v>66</v>
      </c>
      <c r="H3">
        <v>1</v>
      </c>
      <c r="I3">
        <v>2</v>
      </c>
      <c r="J3">
        <v>1</v>
      </c>
      <c r="N3" s="53"/>
      <c r="O3" s="5" t="s">
        <v>87</v>
      </c>
      <c r="P3" s="7">
        <v>6</v>
      </c>
      <c r="Q3" s="7">
        <v>16</v>
      </c>
      <c r="R3" s="7">
        <f>P3+Q3</f>
        <v>22</v>
      </c>
    </row>
    <row r="4" spans="1:23" x14ac:dyDescent="0.3">
      <c r="A4" s="53"/>
      <c r="B4" s="5" t="s">
        <v>98</v>
      </c>
      <c r="C4" s="7">
        <v>45</v>
      </c>
      <c r="D4" s="7">
        <v>28</v>
      </c>
      <c r="E4" s="7">
        <f>C4+D4</f>
        <v>73</v>
      </c>
      <c r="H4">
        <v>1</v>
      </c>
      <c r="I4">
        <v>2</v>
      </c>
      <c r="J4">
        <v>1</v>
      </c>
      <c r="N4" s="53"/>
      <c r="O4" s="5" t="s">
        <v>98</v>
      </c>
      <c r="P4" s="7">
        <v>15</v>
      </c>
      <c r="Q4" s="7">
        <v>9</v>
      </c>
      <c r="R4" s="7">
        <f>P4+Q4</f>
        <v>24</v>
      </c>
    </row>
    <row r="5" spans="1:23" x14ac:dyDescent="0.3">
      <c r="A5" s="5" t="s">
        <v>88</v>
      </c>
      <c r="B5" s="5"/>
      <c r="C5" s="7">
        <f>C3+C4</f>
        <v>64</v>
      </c>
      <c r="D5" s="7">
        <f>D3+D4</f>
        <v>75</v>
      </c>
      <c r="E5" s="7">
        <f>E3+E4</f>
        <v>139</v>
      </c>
      <c r="H5">
        <v>2</v>
      </c>
      <c r="I5">
        <v>1</v>
      </c>
      <c r="J5">
        <v>2</v>
      </c>
      <c r="N5" s="5" t="s">
        <v>88</v>
      </c>
      <c r="O5" s="5"/>
      <c r="P5" s="7">
        <f>P3+P4</f>
        <v>21</v>
      </c>
      <c r="Q5" s="7">
        <f>Q3+Q4</f>
        <v>25</v>
      </c>
      <c r="R5" s="7">
        <f>R3+R4</f>
        <v>46</v>
      </c>
    </row>
    <row r="6" spans="1:23" x14ac:dyDescent="0.3">
      <c r="H6">
        <v>2</v>
      </c>
      <c r="I6">
        <v>1</v>
      </c>
      <c r="J6">
        <v>2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1</v>
      </c>
      <c r="I7">
        <v>2</v>
      </c>
      <c r="J7">
        <v>1</v>
      </c>
      <c r="N7" s="5" t="s">
        <v>114</v>
      </c>
      <c r="O7" s="53" t="s">
        <v>90</v>
      </c>
      <c r="P7" s="53"/>
      <c r="Q7" s="53"/>
      <c r="R7" s="5"/>
      <c r="T7" s="9" t="s">
        <v>83</v>
      </c>
      <c r="U7" s="9" t="s">
        <v>84</v>
      </c>
      <c r="V7" s="9" t="s">
        <v>85</v>
      </c>
      <c r="W7" s="9" t="s">
        <v>86</v>
      </c>
    </row>
    <row r="8" spans="1:23" x14ac:dyDescent="0.3">
      <c r="A8" s="8">
        <f>C3/C5</f>
        <v>0.296875</v>
      </c>
      <c r="B8" s="8">
        <f>1-A8</f>
        <v>0.703125</v>
      </c>
      <c r="C8" s="8">
        <f>D4/E4</f>
        <v>0.38356164383561642</v>
      </c>
      <c r="D8" s="8">
        <f>1-C8</f>
        <v>0.61643835616438358</v>
      </c>
      <c r="H8">
        <v>2</v>
      </c>
      <c r="I8">
        <v>2</v>
      </c>
      <c r="J8">
        <v>2</v>
      </c>
      <c r="N8" s="53" t="s">
        <v>89</v>
      </c>
      <c r="O8" s="5"/>
      <c r="P8" s="5" t="s">
        <v>87</v>
      </c>
      <c r="Q8" s="5" t="s">
        <v>98</v>
      </c>
      <c r="R8" s="5" t="s">
        <v>88</v>
      </c>
      <c r="T8" s="40">
        <f>P9/(P9+Q9)</f>
        <v>0.3</v>
      </c>
      <c r="U8" s="40">
        <f>1-T8</f>
        <v>0.7</v>
      </c>
      <c r="V8" s="40">
        <f>Q10/(Q10+P10)</f>
        <v>0.44</v>
      </c>
      <c r="W8" s="40">
        <f>1-V8</f>
        <v>0.56000000000000005</v>
      </c>
    </row>
    <row r="9" spans="1:23" x14ac:dyDescent="0.3">
      <c r="H9">
        <v>1</v>
      </c>
      <c r="I9">
        <v>2</v>
      </c>
      <c r="J9">
        <v>2</v>
      </c>
      <c r="N9" s="53"/>
      <c r="O9" s="5" t="s">
        <v>87</v>
      </c>
      <c r="P9" s="7">
        <v>6</v>
      </c>
      <c r="Q9" s="7">
        <v>14</v>
      </c>
      <c r="R9" s="7">
        <f>P9+Q9</f>
        <v>20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2</v>
      </c>
      <c r="I10">
        <v>2</v>
      </c>
      <c r="J10">
        <v>1</v>
      </c>
      <c r="N10" s="53"/>
      <c r="O10" s="5" t="s">
        <v>98</v>
      </c>
      <c r="P10" s="7">
        <v>14</v>
      </c>
      <c r="Q10" s="7">
        <v>11</v>
      </c>
      <c r="R10" s="7">
        <f>P10+Q10</f>
        <v>25</v>
      </c>
    </row>
    <row r="11" spans="1:23" x14ac:dyDescent="0.3">
      <c r="A11" s="43">
        <f>C3/E3</f>
        <v>0.2878787878787879</v>
      </c>
      <c r="B11" s="43">
        <f>1-A11</f>
        <v>0.71212121212121215</v>
      </c>
      <c r="C11" s="43">
        <f>D4/E4</f>
        <v>0.38356164383561642</v>
      </c>
      <c r="D11" s="43">
        <f>1-C11</f>
        <v>0.61643835616438358</v>
      </c>
      <c r="E11" s="59"/>
      <c r="F11" s="59"/>
      <c r="H11">
        <v>1</v>
      </c>
      <c r="I11">
        <v>2</v>
      </c>
      <c r="J11">
        <v>2</v>
      </c>
      <c r="N11" s="5" t="s">
        <v>88</v>
      </c>
      <c r="O11" s="5"/>
      <c r="P11" s="7">
        <f>P9+P10</f>
        <v>20</v>
      </c>
      <c r="Q11" s="7">
        <f>Q9+Q10</f>
        <v>25</v>
      </c>
      <c r="R11" s="7">
        <f>R9+R10</f>
        <v>45</v>
      </c>
    </row>
    <row r="12" spans="1:23" x14ac:dyDescent="0.3">
      <c r="E12" s="59"/>
      <c r="F12" s="59"/>
      <c r="H12">
        <v>2</v>
      </c>
      <c r="I12">
        <v>1</v>
      </c>
      <c r="J12">
        <v>1</v>
      </c>
    </row>
    <row r="13" spans="1:23" x14ac:dyDescent="0.3">
      <c r="H13">
        <v>2</v>
      </c>
      <c r="I13">
        <v>1</v>
      </c>
      <c r="J13">
        <v>2</v>
      </c>
      <c r="N13" s="5" t="s">
        <v>115</v>
      </c>
      <c r="O13" s="53" t="s">
        <v>90</v>
      </c>
      <c r="P13" s="53"/>
      <c r="Q13" s="53"/>
      <c r="R13" s="5"/>
      <c r="T13" s="9" t="s">
        <v>83</v>
      </c>
      <c r="U13" s="9" t="s">
        <v>84</v>
      </c>
      <c r="V13" s="9" t="s">
        <v>85</v>
      </c>
      <c r="W13" s="9" t="s">
        <v>86</v>
      </c>
    </row>
    <row r="14" spans="1:23" x14ac:dyDescent="0.3">
      <c r="H14">
        <v>2</v>
      </c>
      <c r="I14">
        <v>1</v>
      </c>
      <c r="J14">
        <v>1</v>
      </c>
      <c r="N14" s="53" t="s">
        <v>89</v>
      </c>
      <c r="O14" s="5"/>
      <c r="P14" s="5" t="s">
        <v>87</v>
      </c>
      <c r="Q14" s="5" t="s">
        <v>98</v>
      </c>
      <c r="R14" s="5" t="s">
        <v>88</v>
      </c>
      <c r="T14" s="40">
        <f>P15/(P15+Q15)</f>
        <v>0.29166666666666669</v>
      </c>
      <c r="U14" s="40">
        <f>1-T14</f>
        <v>0.70833333333333326</v>
      </c>
      <c r="V14" s="40">
        <f>Q16/(Q16+P16)</f>
        <v>0.33333333333333331</v>
      </c>
      <c r="W14" s="40">
        <f>1-V14</f>
        <v>0.66666666666666674</v>
      </c>
    </row>
    <row r="15" spans="1:23" x14ac:dyDescent="0.3">
      <c r="H15">
        <v>1</v>
      </c>
      <c r="I15">
        <v>2</v>
      </c>
      <c r="J15">
        <v>2</v>
      </c>
      <c r="N15" s="53"/>
      <c r="O15" s="5" t="s">
        <v>87</v>
      </c>
      <c r="P15" s="7">
        <v>7</v>
      </c>
      <c r="Q15" s="7">
        <v>17</v>
      </c>
      <c r="R15" s="7">
        <f>P15+Q15</f>
        <v>24</v>
      </c>
    </row>
    <row r="16" spans="1:23" x14ac:dyDescent="0.3">
      <c r="H16">
        <v>2</v>
      </c>
      <c r="I16">
        <v>1</v>
      </c>
      <c r="J16">
        <v>1</v>
      </c>
      <c r="N16" s="53"/>
      <c r="O16" s="5" t="s">
        <v>98</v>
      </c>
      <c r="P16" s="7">
        <v>16</v>
      </c>
      <c r="Q16" s="7">
        <v>8</v>
      </c>
      <c r="R16" s="7">
        <f>P16+Q16</f>
        <v>24</v>
      </c>
    </row>
    <row r="17" spans="1:18" x14ac:dyDescent="0.3">
      <c r="H17">
        <v>1</v>
      </c>
      <c r="I17">
        <v>2</v>
      </c>
      <c r="J17">
        <v>2</v>
      </c>
      <c r="N17" s="5" t="s">
        <v>88</v>
      </c>
      <c r="O17" s="5"/>
      <c r="P17" s="7">
        <f>P15+P16</f>
        <v>23</v>
      </c>
      <c r="Q17" s="7">
        <f>Q15+Q16</f>
        <v>25</v>
      </c>
      <c r="R17" s="7">
        <f>R15+R16</f>
        <v>48</v>
      </c>
    </row>
    <row r="18" spans="1:18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1</v>
      </c>
      <c r="I18">
        <v>2</v>
      </c>
      <c r="J18">
        <v>1</v>
      </c>
    </row>
    <row r="19" spans="1:18" x14ac:dyDescent="0.3">
      <c r="A19" s="54"/>
      <c r="B19" s="54"/>
      <c r="C19" s="69"/>
      <c r="D19" s="54"/>
      <c r="E19" s="54"/>
      <c r="F19" s="54"/>
      <c r="H19">
        <v>2</v>
      </c>
      <c r="I19">
        <v>2</v>
      </c>
      <c r="J19">
        <v>1</v>
      </c>
    </row>
    <row r="20" spans="1:18" x14ac:dyDescent="0.3">
      <c r="A20" s="54"/>
      <c r="B20" s="54"/>
      <c r="C20" s="69"/>
      <c r="D20" s="54"/>
      <c r="E20" s="54"/>
      <c r="F20" s="54"/>
      <c r="H20">
        <v>1</v>
      </c>
      <c r="I20">
        <v>2</v>
      </c>
      <c r="J20">
        <v>2</v>
      </c>
    </row>
    <row r="21" spans="1:18" x14ac:dyDescent="0.3">
      <c r="A21" s="54"/>
      <c r="B21" s="54"/>
      <c r="C21" s="70"/>
      <c r="D21" s="54"/>
      <c r="E21" s="54"/>
      <c r="F21" s="54"/>
      <c r="H21">
        <v>2</v>
      </c>
      <c r="I21">
        <v>2</v>
      </c>
      <c r="J21">
        <v>1</v>
      </c>
    </row>
    <row r="22" spans="1:18" x14ac:dyDescent="0.3">
      <c r="A22" s="37">
        <v>1</v>
      </c>
      <c r="B22" s="37">
        <v>63</v>
      </c>
      <c r="C22" s="40">
        <f>($C$4*$D$11*$A$11^0)+($D$3*$B$11*$C$11^0)</f>
        <v>61.209422997094229</v>
      </c>
      <c r="D22" s="37">
        <v>63.503</v>
      </c>
      <c r="E22" s="5" t="s">
        <v>125</v>
      </c>
      <c r="F22" s="5" t="s">
        <v>125</v>
      </c>
      <c r="H22">
        <v>2</v>
      </c>
      <c r="I22">
        <v>2</v>
      </c>
      <c r="J22">
        <v>2</v>
      </c>
    </row>
    <row r="23" spans="1:18" x14ac:dyDescent="0.3">
      <c r="A23" s="37">
        <v>2</v>
      </c>
      <c r="B23" s="37">
        <v>20</v>
      </c>
      <c r="C23" s="40">
        <f>($C$4*$D$11*$A$11^1)+($D$3*$B$11*$C$11^1)</f>
        <v>20.823370693233706</v>
      </c>
      <c r="D23" s="37">
        <v>21.088999999999999</v>
      </c>
      <c r="E23" s="5" t="s">
        <v>125</v>
      </c>
      <c r="F23" s="5" t="s">
        <v>125</v>
      </c>
      <c r="H23">
        <v>1</v>
      </c>
      <c r="I23">
        <v>1</v>
      </c>
      <c r="J23">
        <v>1</v>
      </c>
    </row>
    <row r="24" spans="1:18" x14ac:dyDescent="0.3">
      <c r="A24" s="37">
        <v>3</v>
      </c>
      <c r="B24" s="37">
        <v>7</v>
      </c>
      <c r="C24" s="40">
        <f>($C$4*$D$11*$A$11^2)+($D$3*$B$11*$C$11^2)</f>
        <v>7.222953748060795</v>
      </c>
      <c r="D24" s="37">
        <v>6.63</v>
      </c>
      <c r="E24" s="37">
        <v>4</v>
      </c>
      <c r="F24" s="5">
        <v>3</v>
      </c>
      <c r="H24">
        <v>2</v>
      </c>
      <c r="I24">
        <v>2</v>
      </c>
      <c r="J24">
        <v>2</v>
      </c>
    </row>
    <row r="25" spans="1:18" x14ac:dyDescent="0.3">
      <c r="A25" s="37">
        <v>4</v>
      </c>
      <c r="B25" s="37">
        <v>1</v>
      </c>
      <c r="C25" s="40">
        <f>($C$4*$D$11*$A$11^3)+($D$3*$B$11*$C$11^3)</f>
        <v>2.5504819772055498</v>
      </c>
      <c r="D25" s="37">
        <v>2.113</v>
      </c>
      <c r="E25" s="5">
        <v>0</v>
      </c>
      <c r="F25" s="5">
        <v>1</v>
      </c>
      <c r="H25">
        <v>1</v>
      </c>
      <c r="I25">
        <v>1</v>
      </c>
      <c r="J25">
        <v>1</v>
      </c>
    </row>
    <row r="26" spans="1:18" x14ac:dyDescent="0.3">
      <c r="A26" s="37">
        <v>5</v>
      </c>
      <c r="B26" s="37">
        <v>1</v>
      </c>
      <c r="C26" s="40">
        <f>($C$4*$D$11*$A$11^4)+($D$3*$B$11*$C$11^4)</f>
        <v>0.91494350400407032</v>
      </c>
      <c r="D26" s="37">
        <v>0.65400000000000003</v>
      </c>
      <c r="E26" s="5">
        <v>0</v>
      </c>
      <c r="F26" s="5">
        <v>1</v>
      </c>
      <c r="H26">
        <v>2</v>
      </c>
      <c r="I26">
        <v>1</v>
      </c>
      <c r="J26">
        <v>2</v>
      </c>
    </row>
    <row r="27" spans="1:18" x14ac:dyDescent="0.3">
      <c r="A27" s="37">
        <v>6</v>
      </c>
      <c r="B27" s="37">
        <v>1</v>
      </c>
      <c r="C27" s="40">
        <f>($C$4*$D$11*$A$11^5)+($D$3*$B$11*$C$11^5)</f>
        <v>0.33270772594018577</v>
      </c>
      <c r="D27" s="37">
        <v>0.191</v>
      </c>
      <c r="E27" s="5">
        <v>0</v>
      </c>
      <c r="F27" s="5">
        <v>1</v>
      </c>
      <c r="H27">
        <v>1</v>
      </c>
      <c r="I27">
        <v>2</v>
      </c>
      <c r="J27">
        <v>1</v>
      </c>
    </row>
    <row r="28" spans="1:18" x14ac:dyDescent="0.3">
      <c r="A28" s="37">
        <v>7</v>
      </c>
      <c r="B28" s="37">
        <v>0</v>
      </c>
      <c r="C28" s="40">
        <f>($C$4*$D$11*$A$11^6)+($D$3*$B$11*$C$11^6)</f>
        <v>0.1223660334757857</v>
      </c>
      <c r="D28" s="37">
        <v>6.0999999999999999E-2</v>
      </c>
      <c r="E28" s="5">
        <v>0</v>
      </c>
      <c r="F28" s="5">
        <v>0</v>
      </c>
      <c r="H28">
        <v>1</v>
      </c>
      <c r="I28">
        <v>1</v>
      </c>
      <c r="J28">
        <v>2</v>
      </c>
    </row>
    <row r="29" spans="1:18" x14ac:dyDescent="0.3">
      <c r="A29" s="37">
        <v>8</v>
      </c>
      <c r="B29" s="37">
        <v>0</v>
      </c>
      <c r="C29" s="40">
        <f>($C$4*$D$11*$A$11^7)+($D$3*$B$11*$C$11^7)</f>
        <v>4.5424161082189281E-2</v>
      </c>
      <c r="D29" s="37">
        <v>8.9999999999999993E-3</v>
      </c>
      <c r="E29" s="5">
        <v>0</v>
      </c>
      <c r="F29" s="5">
        <v>0</v>
      </c>
      <c r="H29">
        <v>1</v>
      </c>
      <c r="I29">
        <v>2</v>
      </c>
      <c r="J29">
        <v>1</v>
      </c>
    </row>
    <row r="30" spans="1:18" x14ac:dyDescent="0.3">
      <c r="A30" s="37" t="s">
        <v>103</v>
      </c>
      <c r="B30" s="37">
        <v>0</v>
      </c>
      <c r="C30" s="40">
        <f>($C$4*$D$11*$A$11^8)+($D$3*$B$11*$C$11^8)</f>
        <v>1.6988051326642654E-2</v>
      </c>
      <c r="D30" s="37">
        <v>6.0000000000000001E-3</v>
      </c>
      <c r="E30" s="5">
        <v>0</v>
      </c>
      <c r="F30" s="5">
        <v>0</v>
      </c>
      <c r="H30">
        <v>2</v>
      </c>
      <c r="I30">
        <v>1</v>
      </c>
      <c r="J30">
        <v>2</v>
      </c>
    </row>
    <row r="31" spans="1:18" x14ac:dyDescent="0.3">
      <c r="H31">
        <v>2</v>
      </c>
      <c r="I31">
        <v>1</v>
      </c>
      <c r="J31">
        <v>1</v>
      </c>
    </row>
    <row r="32" spans="1:18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2</v>
      </c>
      <c r="I32">
        <v>2</v>
      </c>
      <c r="J32">
        <v>2</v>
      </c>
    </row>
    <row r="33" spans="1:10" x14ac:dyDescent="0.3">
      <c r="A33" s="53"/>
      <c r="B33" s="54"/>
      <c r="C33" s="54"/>
      <c r="D33" s="54"/>
      <c r="E33" s="54"/>
      <c r="F33" s="53"/>
      <c r="G33" s="53"/>
      <c r="H33">
        <v>1</v>
      </c>
      <c r="I33">
        <v>1</v>
      </c>
      <c r="J33">
        <v>2</v>
      </c>
    </row>
    <row r="34" spans="1:10" x14ac:dyDescent="0.3">
      <c r="A34" s="5" t="s">
        <v>87</v>
      </c>
      <c r="B34" s="64">
        <f>E24+E25+E26+E27+E28+E29+E30</f>
        <v>4</v>
      </c>
      <c r="C34" s="65"/>
      <c r="D34" s="66">
        <f>E24*1+E25*2+E26*3+E27*4+E28*5+E29*6+E30*7</f>
        <v>4</v>
      </c>
      <c r="E34" s="67"/>
      <c r="F34" s="48">
        <f>B34/D34</f>
        <v>1</v>
      </c>
      <c r="G34" s="49">
        <f>F34</f>
        <v>1</v>
      </c>
      <c r="H34">
        <v>2</v>
      </c>
      <c r="I34">
        <v>2</v>
      </c>
      <c r="J34">
        <v>2</v>
      </c>
    </row>
    <row r="35" spans="1:10" x14ac:dyDescent="0.3">
      <c r="A35" s="5" t="s">
        <v>98</v>
      </c>
      <c r="B35" s="64">
        <f>F24+F25+F26+F27+F28+F29+F30</f>
        <v>6</v>
      </c>
      <c r="C35" s="65"/>
      <c r="D35" s="66">
        <f>F24*1+F25*2+F26*3+F27*4+F28*5+F29*6+F30*7</f>
        <v>12</v>
      </c>
      <c r="E35" s="67"/>
      <c r="F35" s="48">
        <f>B35/D35</f>
        <v>0.5</v>
      </c>
      <c r="G35" s="49">
        <f>F35</f>
        <v>0.5</v>
      </c>
      <c r="H35">
        <v>1</v>
      </c>
      <c r="I35">
        <v>1</v>
      </c>
      <c r="J35">
        <v>1</v>
      </c>
    </row>
    <row r="36" spans="1:10" x14ac:dyDescent="0.3">
      <c r="H36">
        <v>2</v>
      </c>
      <c r="I36">
        <v>2</v>
      </c>
      <c r="J36">
        <v>2</v>
      </c>
    </row>
    <row r="37" spans="1:10" x14ac:dyDescent="0.3">
      <c r="H37">
        <v>2</v>
      </c>
      <c r="I37">
        <v>1</v>
      </c>
      <c r="J37">
        <v>1</v>
      </c>
    </row>
    <row r="38" spans="1:10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1</v>
      </c>
      <c r="I38">
        <v>2</v>
      </c>
      <c r="J38">
        <v>1</v>
      </c>
    </row>
    <row r="39" spans="1:10" x14ac:dyDescent="0.3">
      <c r="A39" s="80" t="s">
        <v>87</v>
      </c>
      <c r="B39" s="83">
        <v>4</v>
      </c>
      <c r="C39" s="83"/>
      <c r="D39" s="92">
        <v>19</v>
      </c>
      <c r="E39" s="92"/>
      <c r="F39" s="82">
        <f>SUM(B39+D39)</f>
        <v>23</v>
      </c>
      <c r="H39">
        <v>2</v>
      </c>
      <c r="I39">
        <v>1</v>
      </c>
      <c r="J39">
        <v>1</v>
      </c>
    </row>
    <row r="40" spans="1:10" x14ac:dyDescent="0.3">
      <c r="A40" s="80" t="s">
        <v>98</v>
      </c>
      <c r="B40" s="83">
        <v>6</v>
      </c>
      <c r="C40" s="83"/>
      <c r="D40" s="92">
        <v>28</v>
      </c>
      <c r="E40" s="92"/>
      <c r="F40" s="82">
        <f>SUM(B40+D40)</f>
        <v>34</v>
      </c>
      <c r="H40">
        <v>2</v>
      </c>
      <c r="I40">
        <v>2</v>
      </c>
      <c r="J40">
        <v>2</v>
      </c>
    </row>
    <row r="41" spans="1:10" x14ac:dyDescent="0.3">
      <c r="A41" s="85"/>
      <c r="B41" s="86">
        <f>SUM(B39:B40)</f>
        <v>10</v>
      </c>
      <c r="C41" s="86"/>
      <c r="D41" s="87">
        <f>SUM(D39:D40)</f>
        <v>47</v>
      </c>
      <c r="E41" s="87"/>
      <c r="F41" s="82">
        <f>SUM(F39:F40)</f>
        <v>57</v>
      </c>
      <c r="H41">
        <v>1</v>
      </c>
      <c r="I41">
        <v>1</v>
      </c>
      <c r="J41">
        <v>2</v>
      </c>
    </row>
    <row r="42" spans="1:10" x14ac:dyDescent="0.3">
      <c r="A42" s="40"/>
      <c r="B42" s="84" t="s">
        <v>134</v>
      </c>
      <c r="C42" s="84"/>
      <c r="D42" s="84" t="s">
        <v>132</v>
      </c>
      <c r="E42" s="84"/>
      <c r="F42" s="73"/>
      <c r="H42">
        <v>1</v>
      </c>
      <c r="I42">
        <v>1</v>
      </c>
      <c r="J42">
        <v>2</v>
      </c>
    </row>
    <row r="43" spans="1:10" x14ac:dyDescent="0.3">
      <c r="A43" s="82" t="s">
        <v>87</v>
      </c>
      <c r="B43" s="81">
        <f>B41*F39/F41</f>
        <v>4.0350877192982457</v>
      </c>
      <c r="C43" s="81"/>
      <c r="D43" s="81">
        <f>D41*F39/F41</f>
        <v>18.964912280701753</v>
      </c>
      <c r="E43" s="81"/>
      <c r="F43" s="73"/>
      <c r="H43">
        <v>2</v>
      </c>
      <c r="I43">
        <v>2</v>
      </c>
      <c r="J43">
        <v>2</v>
      </c>
    </row>
    <row r="44" spans="1:10" x14ac:dyDescent="0.3">
      <c r="A44" s="82" t="s">
        <v>98</v>
      </c>
      <c r="B44" s="81">
        <f>B41*F40/F41</f>
        <v>5.9649122807017543</v>
      </c>
      <c r="C44" s="81"/>
      <c r="D44" s="81">
        <f>D41*F40/F41</f>
        <v>28.035087719298247</v>
      </c>
      <c r="E44" s="81"/>
      <c r="F44" s="73"/>
      <c r="H44">
        <v>1</v>
      </c>
      <c r="I44">
        <v>2</v>
      </c>
      <c r="J44">
        <v>1</v>
      </c>
    </row>
    <row r="45" spans="1:10" x14ac:dyDescent="0.3">
      <c r="A45" s="88"/>
      <c r="B45" s="88"/>
      <c r="C45" s="88"/>
      <c r="D45" s="88"/>
      <c r="E45" s="88"/>
      <c r="F45" s="73"/>
      <c r="H45">
        <v>1</v>
      </c>
      <c r="I45">
        <v>1</v>
      </c>
      <c r="J45">
        <v>2</v>
      </c>
    </row>
    <row r="46" spans="1:10" x14ac:dyDescent="0.3">
      <c r="A46" s="88" t="s">
        <v>135</v>
      </c>
      <c r="B46" s="89">
        <f>CHITEST(B39:E40,B43:E44)</f>
        <v>0.99999589149954837</v>
      </c>
      <c r="C46" s="88"/>
      <c r="D46" s="88"/>
      <c r="E46" s="88"/>
      <c r="F46" s="73"/>
      <c r="H46">
        <v>2</v>
      </c>
      <c r="I46">
        <v>2</v>
      </c>
      <c r="J46">
        <v>2</v>
      </c>
    </row>
    <row r="47" spans="1:10" x14ac:dyDescent="0.3">
      <c r="H47">
        <v>2</v>
      </c>
      <c r="J47">
        <v>1</v>
      </c>
    </row>
    <row r="48" spans="1:10" x14ac:dyDescent="0.3">
      <c r="J48">
        <v>1</v>
      </c>
    </row>
    <row r="49" spans="1:10" x14ac:dyDescent="0.3">
      <c r="J49">
        <v>2</v>
      </c>
    </row>
    <row r="50" spans="1:10" x14ac:dyDescent="0.3">
      <c r="A50" s="71"/>
      <c r="B50" s="72"/>
      <c r="C50" s="72"/>
      <c r="D50" s="91"/>
      <c r="E50" s="91"/>
      <c r="F50" s="75"/>
    </row>
    <row r="51" spans="1:10" x14ac:dyDescent="0.3">
      <c r="A51" s="72"/>
      <c r="B51" s="72"/>
      <c r="C51" s="72"/>
      <c r="D51" s="91"/>
      <c r="E51" s="91"/>
      <c r="F51" s="75"/>
    </row>
    <row r="52" spans="1:10" x14ac:dyDescent="0.3">
      <c r="A52" s="72"/>
      <c r="B52" s="93"/>
      <c r="C52" s="93"/>
      <c r="D52" s="94"/>
      <c r="E52" s="94"/>
      <c r="F52" s="73"/>
    </row>
    <row r="53" spans="1:10" x14ac:dyDescent="0.3">
      <c r="A53" s="72"/>
      <c r="B53" s="93"/>
      <c r="C53" s="93"/>
      <c r="D53" s="94"/>
      <c r="E53" s="94"/>
      <c r="F53" s="73"/>
    </row>
    <row r="54" spans="1:10" x14ac:dyDescent="0.3">
      <c r="A54" s="71"/>
      <c r="B54" s="71"/>
      <c r="C54" s="74"/>
      <c r="D54" s="74"/>
      <c r="E54" s="74"/>
      <c r="F54" s="73"/>
    </row>
    <row r="55" spans="1:10" x14ac:dyDescent="0.3">
      <c r="A55" s="73"/>
      <c r="B55" s="73"/>
      <c r="C55" s="73"/>
      <c r="D55" s="73"/>
      <c r="E55" s="73"/>
      <c r="F55" s="73"/>
    </row>
    <row r="56" spans="1:10" x14ac:dyDescent="0.3">
      <c r="A56" s="73"/>
      <c r="B56" s="90"/>
      <c r="C56" s="90"/>
      <c r="D56" s="90"/>
      <c r="E56" s="90"/>
      <c r="F56" s="73"/>
    </row>
    <row r="57" spans="1:10" x14ac:dyDescent="0.3">
      <c r="A57" s="73"/>
      <c r="B57" s="90"/>
      <c r="C57" s="90"/>
      <c r="D57" s="90"/>
      <c r="E57" s="90"/>
      <c r="F57" s="73"/>
    </row>
    <row r="58" spans="1:10" x14ac:dyDescent="0.3">
      <c r="A58" s="73"/>
      <c r="B58" s="73"/>
      <c r="C58" s="73"/>
      <c r="D58" s="73"/>
      <c r="E58" s="73"/>
      <c r="F58" s="73"/>
    </row>
    <row r="59" spans="1:10" x14ac:dyDescent="0.3">
      <c r="A59" s="73"/>
      <c r="B59" s="73"/>
      <c r="C59" s="73"/>
      <c r="D59" s="73"/>
      <c r="E59" s="73"/>
      <c r="F59" s="73"/>
    </row>
  </sheetData>
  <mergeCells count="38">
    <mergeCell ref="B44:C44"/>
    <mergeCell ref="D44:E44"/>
    <mergeCell ref="B41:C41"/>
    <mergeCell ref="D41:E41"/>
    <mergeCell ref="B42:C42"/>
    <mergeCell ref="D42:E42"/>
    <mergeCell ref="B43:C43"/>
    <mergeCell ref="D43:E43"/>
    <mergeCell ref="B38:C38"/>
    <mergeCell ref="D38:E38"/>
    <mergeCell ref="B39:C39"/>
    <mergeCell ref="D39:E39"/>
    <mergeCell ref="B40:C40"/>
    <mergeCell ref="D40:E40"/>
    <mergeCell ref="A32:A33"/>
    <mergeCell ref="B32:C33"/>
    <mergeCell ref="D32:E33"/>
    <mergeCell ref="G32:G33"/>
    <mergeCell ref="N14:N16"/>
    <mergeCell ref="O1:Q1"/>
    <mergeCell ref="N2:N4"/>
    <mergeCell ref="O7:Q7"/>
    <mergeCell ref="N8:N10"/>
    <mergeCell ref="O13:Q13"/>
    <mergeCell ref="B1:D1"/>
    <mergeCell ref="A2:A4"/>
    <mergeCell ref="E10:F12"/>
    <mergeCell ref="A18:A21"/>
    <mergeCell ref="B18:B21"/>
    <mergeCell ref="C18:C21"/>
    <mergeCell ref="D18:D21"/>
    <mergeCell ref="E18:E21"/>
    <mergeCell ref="F18:F21"/>
    <mergeCell ref="F32:F33"/>
    <mergeCell ref="B34:C34"/>
    <mergeCell ref="D34:E34"/>
    <mergeCell ref="B35:C35"/>
    <mergeCell ref="D35:E35"/>
  </mergeCells>
  <conditionalFormatting sqref="A55:E55 A56:B57 D56:D57 A58:E59">
    <cfRule type="cellIs" dxfId="174" priority="5" operator="equal">
      <formula>1</formula>
    </cfRule>
    <cfRule type="cellIs" dxfId="173" priority="6" operator="equal">
      <formula>2</formula>
    </cfRule>
    <cfRule type="cellIs" dxfId="172" priority="7" operator="equal">
      <formula>1</formula>
    </cfRule>
    <cfRule type="cellIs" dxfId="171" priority="8" operator="equal">
      <formula>2</formula>
    </cfRule>
  </conditionalFormatting>
  <conditionalFormatting sqref="H1:J49">
    <cfRule type="cellIs" dxfId="170" priority="9" operator="equal">
      <formula>1</formula>
    </cfRule>
    <cfRule type="cellIs" dxfId="169" priority="10" operator="equal">
      <formula>2</formula>
    </cfRule>
  </conditionalFormatting>
  <conditionalFormatting sqref="A43:B44 A45:E46 D42:D44 B42">
    <cfRule type="cellIs" dxfId="91" priority="1" operator="equal">
      <formula>1</formula>
    </cfRule>
    <cfRule type="cellIs" dxfId="90" priority="2" operator="equal">
      <formula>2</formula>
    </cfRule>
    <cfRule type="cellIs" dxfId="89" priority="3" operator="equal">
      <formula>1</formula>
    </cfRule>
    <cfRule type="cellIs" dxfId="88" priority="4" operator="equal">
      <formula>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CD65-5209-42B5-8289-F91156F3B404}">
  <dimension ref="A1:W59"/>
  <sheetViews>
    <sheetView topLeftCell="A28" workbookViewId="0">
      <selection activeCell="D41" sqref="D41:E41"/>
    </sheetView>
  </sheetViews>
  <sheetFormatPr defaultRowHeight="14.4" x14ac:dyDescent="0.3"/>
  <cols>
    <col min="3" max="3" width="9.88671875" customWidth="1"/>
  </cols>
  <sheetData>
    <row r="1" spans="1:23" x14ac:dyDescent="0.3">
      <c r="A1" s="5"/>
      <c r="B1" s="53" t="s">
        <v>90</v>
      </c>
      <c r="C1" s="53"/>
      <c r="D1" s="53"/>
      <c r="E1" s="5"/>
      <c r="H1">
        <v>1</v>
      </c>
      <c r="I1">
        <v>2</v>
      </c>
      <c r="J1">
        <v>1</v>
      </c>
      <c r="K1">
        <v>2</v>
      </c>
      <c r="N1" s="5" t="s">
        <v>113</v>
      </c>
      <c r="O1" s="53" t="s">
        <v>90</v>
      </c>
      <c r="P1" s="53"/>
      <c r="Q1" s="53"/>
      <c r="R1" s="5"/>
      <c r="T1" s="9" t="s">
        <v>83</v>
      </c>
      <c r="U1" s="9" t="s">
        <v>84</v>
      </c>
      <c r="V1" s="9" t="s">
        <v>85</v>
      </c>
      <c r="W1" s="9" t="s">
        <v>86</v>
      </c>
    </row>
    <row r="2" spans="1:23" x14ac:dyDescent="0.3">
      <c r="A2" s="53" t="s">
        <v>89</v>
      </c>
      <c r="B2" s="5"/>
      <c r="C2" s="5" t="s">
        <v>87</v>
      </c>
      <c r="D2" s="5" t="s">
        <v>41</v>
      </c>
      <c r="E2" s="5" t="s">
        <v>88</v>
      </c>
      <c r="H2">
        <v>1</v>
      </c>
      <c r="I2">
        <v>1</v>
      </c>
      <c r="J2">
        <v>1</v>
      </c>
      <c r="K2">
        <v>1</v>
      </c>
      <c r="N2" s="53" t="s">
        <v>89</v>
      </c>
      <c r="O2" s="5"/>
      <c r="P2" s="5" t="s">
        <v>87</v>
      </c>
      <c r="Q2" s="5" t="s">
        <v>41</v>
      </c>
      <c r="R2" s="5" t="s">
        <v>88</v>
      </c>
      <c r="T2" s="40">
        <f>P3/(P3+Q3)</f>
        <v>0.22727272727272727</v>
      </c>
      <c r="U2" s="40">
        <f>1-T2</f>
        <v>0.77272727272727271</v>
      </c>
      <c r="V2" s="40">
        <f>Q4/(Q4+P4)</f>
        <v>0.33333333333333331</v>
      </c>
      <c r="W2" s="40">
        <f>1-V2</f>
        <v>0.66666666666666674</v>
      </c>
    </row>
    <row r="3" spans="1:23" x14ac:dyDescent="0.3">
      <c r="A3" s="53"/>
      <c r="B3" s="5" t="s">
        <v>87</v>
      </c>
      <c r="C3" s="7">
        <v>38</v>
      </c>
      <c r="D3" s="7">
        <v>58</v>
      </c>
      <c r="E3" s="7">
        <f>C3+D3</f>
        <v>96</v>
      </c>
      <c r="H3">
        <v>1</v>
      </c>
      <c r="I3">
        <v>2</v>
      </c>
      <c r="J3">
        <v>2</v>
      </c>
      <c r="K3">
        <v>2</v>
      </c>
      <c r="N3" s="53"/>
      <c r="O3" s="5" t="s">
        <v>87</v>
      </c>
      <c r="P3" s="7">
        <v>5</v>
      </c>
      <c r="Q3" s="7">
        <v>17</v>
      </c>
      <c r="R3" s="7">
        <f>P3+Q3</f>
        <v>22</v>
      </c>
    </row>
    <row r="4" spans="1:23" x14ac:dyDescent="0.3">
      <c r="A4" s="53"/>
      <c r="B4" s="5" t="s">
        <v>41</v>
      </c>
      <c r="C4" s="7">
        <v>59</v>
      </c>
      <c r="D4" s="7">
        <v>27</v>
      </c>
      <c r="E4" s="7">
        <f>C4+D4</f>
        <v>86</v>
      </c>
      <c r="H4">
        <v>2</v>
      </c>
      <c r="I4">
        <v>1</v>
      </c>
      <c r="J4">
        <v>1</v>
      </c>
      <c r="K4">
        <v>2</v>
      </c>
      <c r="N4" s="53"/>
      <c r="O4" s="5" t="s">
        <v>41</v>
      </c>
      <c r="P4" s="7">
        <v>16</v>
      </c>
      <c r="Q4" s="7">
        <v>8</v>
      </c>
      <c r="R4" s="7">
        <f>P4+Q4</f>
        <v>24</v>
      </c>
    </row>
    <row r="5" spans="1:23" x14ac:dyDescent="0.3">
      <c r="A5" s="5" t="s">
        <v>88</v>
      </c>
      <c r="B5" s="5"/>
      <c r="C5" s="7">
        <f>C3+C4</f>
        <v>97</v>
      </c>
      <c r="D5" s="7">
        <f>D3+D4</f>
        <v>85</v>
      </c>
      <c r="E5" s="7">
        <f>E3+E4</f>
        <v>182</v>
      </c>
      <c r="H5">
        <v>2</v>
      </c>
      <c r="I5">
        <v>2</v>
      </c>
      <c r="J5">
        <v>1</v>
      </c>
      <c r="K5">
        <v>1</v>
      </c>
      <c r="N5" s="5" t="s">
        <v>88</v>
      </c>
      <c r="O5" s="5"/>
      <c r="P5" s="7">
        <f>P3+P4</f>
        <v>21</v>
      </c>
      <c r="Q5" s="7">
        <f>Q3+Q4</f>
        <v>25</v>
      </c>
      <c r="R5" s="7">
        <f>R3+R4</f>
        <v>46</v>
      </c>
    </row>
    <row r="6" spans="1:23" x14ac:dyDescent="0.3">
      <c r="H6">
        <v>1</v>
      </c>
      <c r="I6">
        <v>1</v>
      </c>
      <c r="J6">
        <v>2</v>
      </c>
      <c r="K6">
        <v>1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2</v>
      </c>
      <c r="I7">
        <v>1</v>
      </c>
      <c r="J7">
        <v>1</v>
      </c>
      <c r="K7">
        <v>2</v>
      </c>
      <c r="N7" s="5" t="s">
        <v>114</v>
      </c>
      <c r="O7" s="53" t="s">
        <v>90</v>
      </c>
      <c r="P7" s="53"/>
      <c r="Q7" s="53"/>
      <c r="R7" s="5"/>
      <c r="T7" s="9" t="s">
        <v>83</v>
      </c>
      <c r="U7" s="9" t="s">
        <v>84</v>
      </c>
      <c r="V7" s="9" t="s">
        <v>85</v>
      </c>
      <c r="W7" s="9" t="s">
        <v>86</v>
      </c>
    </row>
    <row r="8" spans="1:23" x14ac:dyDescent="0.3">
      <c r="A8" s="8">
        <f>C3/C5</f>
        <v>0.39175257731958762</v>
      </c>
      <c r="B8" s="8">
        <f>1-A8</f>
        <v>0.60824742268041243</v>
      </c>
      <c r="C8" s="8">
        <f>D4/E4</f>
        <v>0.31395348837209303</v>
      </c>
      <c r="D8" s="8">
        <f>1-C8</f>
        <v>0.68604651162790697</v>
      </c>
      <c r="H8">
        <v>1</v>
      </c>
      <c r="I8">
        <v>2</v>
      </c>
      <c r="J8">
        <v>1</v>
      </c>
      <c r="K8">
        <v>1</v>
      </c>
      <c r="N8" s="53" t="s">
        <v>89</v>
      </c>
      <c r="O8" s="5"/>
      <c r="P8" s="5" t="s">
        <v>87</v>
      </c>
      <c r="Q8" s="5" t="s">
        <v>41</v>
      </c>
      <c r="R8" s="5" t="s">
        <v>88</v>
      </c>
      <c r="T8" s="40">
        <f>P9/(P9+Q9)</f>
        <v>0.54166666666666663</v>
      </c>
      <c r="U8" s="40">
        <f>1-T8</f>
        <v>0.45833333333333337</v>
      </c>
      <c r="V8" s="40">
        <f>Q10/(Q10+P10)</f>
        <v>0.2</v>
      </c>
      <c r="W8" s="40">
        <f>1-V8</f>
        <v>0.8</v>
      </c>
    </row>
    <row r="9" spans="1:23" x14ac:dyDescent="0.3">
      <c r="H9">
        <v>2</v>
      </c>
      <c r="I9">
        <v>1</v>
      </c>
      <c r="J9">
        <v>2</v>
      </c>
      <c r="K9">
        <v>2</v>
      </c>
      <c r="N9" s="53"/>
      <c r="O9" s="5" t="s">
        <v>87</v>
      </c>
      <c r="P9" s="7">
        <v>13</v>
      </c>
      <c r="Q9" s="7">
        <v>11</v>
      </c>
      <c r="R9" s="7">
        <f>P9+Q9</f>
        <v>24</v>
      </c>
    </row>
    <row r="10" spans="1:23" ht="14.4" customHeight="1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2</v>
      </c>
      <c r="I10">
        <v>1</v>
      </c>
      <c r="J10">
        <v>2</v>
      </c>
      <c r="K10">
        <v>2</v>
      </c>
      <c r="N10" s="53"/>
      <c r="O10" s="5" t="s">
        <v>41</v>
      </c>
      <c r="P10" s="7">
        <v>12</v>
      </c>
      <c r="Q10" s="7">
        <v>3</v>
      </c>
      <c r="R10" s="7">
        <f>P10+Q10</f>
        <v>15</v>
      </c>
    </row>
    <row r="11" spans="1:23" x14ac:dyDescent="0.3">
      <c r="A11" s="43">
        <f>C3/E3</f>
        <v>0.39583333333333331</v>
      </c>
      <c r="B11" s="43">
        <f>1-A11</f>
        <v>0.60416666666666674</v>
      </c>
      <c r="C11" s="43">
        <f>D4/E4</f>
        <v>0.31395348837209303</v>
      </c>
      <c r="D11" s="43">
        <f>1-C11</f>
        <v>0.68604651162790697</v>
      </c>
      <c r="E11" s="59"/>
      <c r="F11" s="59"/>
      <c r="H11">
        <v>1</v>
      </c>
      <c r="I11">
        <v>1</v>
      </c>
      <c r="J11">
        <v>1</v>
      </c>
      <c r="K11">
        <v>1</v>
      </c>
      <c r="N11" s="5" t="s">
        <v>88</v>
      </c>
      <c r="O11" s="5"/>
      <c r="P11" s="7">
        <f>P9+P10</f>
        <v>25</v>
      </c>
      <c r="Q11" s="7">
        <f>Q9+Q10</f>
        <v>14</v>
      </c>
      <c r="R11" s="7">
        <f>R9+R10</f>
        <v>39</v>
      </c>
    </row>
    <row r="12" spans="1:23" x14ac:dyDescent="0.3">
      <c r="E12" s="59"/>
      <c r="F12" s="59"/>
      <c r="H12">
        <v>2</v>
      </c>
      <c r="I12">
        <v>2</v>
      </c>
      <c r="J12">
        <v>2</v>
      </c>
      <c r="K12">
        <v>2</v>
      </c>
    </row>
    <row r="13" spans="1:23" x14ac:dyDescent="0.3">
      <c r="H13">
        <v>2</v>
      </c>
      <c r="I13">
        <v>1</v>
      </c>
      <c r="J13">
        <v>1</v>
      </c>
      <c r="K13">
        <v>1</v>
      </c>
      <c r="N13" s="5" t="s">
        <v>115</v>
      </c>
      <c r="O13" s="53" t="s">
        <v>90</v>
      </c>
      <c r="P13" s="53"/>
      <c r="Q13" s="53"/>
      <c r="R13" s="5"/>
      <c r="T13" s="9" t="s">
        <v>83</v>
      </c>
      <c r="U13" s="9" t="s">
        <v>84</v>
      </c>
      <c r="V13" s="9" t="s">
        <v>85</v>
      </c>
      <c r="W13" s="9" t="s">
        <v>86</v>
      </c>
    </row>
    <row r="14" spans="1:23" x14ac:dyDescent="0.3">
      <c r="H14">
        <v>1</v>
      </c>
      <c r="I14">
        <v>2</v>
      </c>
      <c r="J14">
        <v>1</v>
      </c>
      <c r="K14">
        <v>1</v>
      </c>
      <c r="N14" s="53" t="s">
        <v>89</v>
      </c>
      <c r="O14" s="5"/>
      <c r="P14" s="5" t="s">
        <v>87</v>
      </c>
      <c r="Q14" s="5" t="s">
        <v>41</v>
      </c>
      <c r="R14" s="5" t="s">
        <v>88</v>
      </c>
      <c r="T14" s="40">
        <f>P15/(P15+Q15)</f>
        <v>0.4</v>
      </c>
      <c r="U14" s="40">
        <f>1-T14</f>
        <v>0.6</v>
      </c>
      <c r="V14" s="40">
        <f>Q16/(Q16+P16)</f>
        <v>0.31818181818181818</v>
      </c>
      <c r="W14" s="40">
        <f>1-V14</f>
        <v>0.68181818181818188</v>
      </c>
    </row>
    <row r="15" spans="1:23" x14ac:dyDescent="0.3">
      <c r="H15">
        <v>2</v>
      </c>
      <c r="I15">
        <v>1</v>
      </c>
      <c r="J15">
        <v>1</v>
      </c>
      <c r="K15">
        <v>2</v>
      </c>
      <c r="N15" s="53"/>
      <c r="O15" s="5" t="s">
        <v>87</v>
      </c>
      <c r="P15" s="7">
        <v>10</v>
      </c>
      <c r="Q15" s="7">
        <v>15</v>
      </c>
      <c r="R15" s="7">
        <f>P15+Q15</f>
        <v>25</v>
      </c>
    </row>
    <row r="16" spans="1:23" x14ac:dyDescent="0.3">
      <c r="H16">
        <v>1</v>
      </c>
      <c r="I16">
        <v>2</v>
      </c>
      <c r="J16">
        <v>1</v>
      </c>
      <c r="K16">
        <v>1</v>
      </c>
      <c r="N16" s="53"/>
      <c r="O16" s="5" t="s">
        <v>41</v>
      </c>
      <c r="P16" s="7">
        <v>15</v>
      </c>
      <c r="Q16" s="7">
        <v>7</v>
      </c>
      <c r="R16" s="7">
        <f>P16+Q16</f>
        <v>22</v>
      </c>
    </row>
    <row r="17" spans="1:23" x14ac:dyDescent="0.3">
      <c r="H17">
        <v>2</v>
      </c>
      <c r="I17">
        <v>2</v>
      </c>
      <c r="J17">
        <v>2</v>
      </c>
      <c r="K17">
        <v>1</v>
      </c>
      <c r="N17" s="5" t="s">
        <v>88</v>
      </c>
      <c r="O17" s="5"/>
      <c r="P17" s="7">
        <f>P15+P16</f>
        <v>25</v>
      </c>
      <c r="Q17" s="7">
        <f>Q15+Q16</f>
        <v>22</v>
      </c>
      <c r="R17" s="7">
        <f>R15+R16</f>
        <v>47</v>
      </c>
    </row>
    <row r="18" spans="1:23" ht="14.4" customHeight="1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1</v>
      </c>
      <c r="I18">
        <v>1</v>
      </c>
      <c r="J18">
        <v>1</v>
      </c>
      <c r="K18">
        <v>1</v>
      </c>
    </row>
    <row r="19" spans="1:23" x14ac:dyDescent="0.3">
      <c r="A19" s="54"/>
      <c r="B19" s="54"/>
      <c r="C19" s="69"/>
      <c r="D19" s="54"/>
      <c r="E19" s="54"/>
      <c r="F19" s="54"/>
      <c r="H19">
        <v>2</v>
      </c>
      <c r="I19">
        <v>1</v>
      </c>
      <c r="J19">
        <v>2</v>
      </c>
      <c r="K19">
        <v>1</v>
      </c>
      <c r="N19" s="5" t="s">
        <v>117</v>
      </c>
      <c r="O19" s="53" t="s">
        <v>90</v>
      </c>
      <c r="P19" s="53"/>
      <c r="Q19" s="53"/>
      <c r="R19" s="5"/>
      <c r="T19" s="9" t="s">
        <v>83</v>
      </c>
      <c r="U19" s="9" t="s">
        <v>84</v>
      </c>
      <c r="V19" s="9" t="s">
        <v>85</v>
      </c>
      <c r="W19" s="9" t="s">
        <v>86</v>
      </c>
    </row>
    <row r="20" spans="1:23" x14ac:dyDescent="0.3">
      <c r="A20" s="54"/>
      <c r="B20" s="54"/>
      <c r="C20" s="69"/>
      <c r="D20" s="54"/>
      <c r="E20" s="54"/>
      <c r="F20" s="54"/>
      <c r="H20">
        <v>1</v>
      </c>
      <c r="I20">
        <v>1</v>
      </c>
      <c r="J20">
        <v>1</v>
      </c>
      <c r="K20">
        <v>2</v>
      </c>
      <c r="N20" s="53" t="s">
        <v>89</v>
      </c>
      <c r="O20" s="5"/>
      <c r="P20" s="5" t="s">
        <v>87</v>
      </c>
      <c r="Q20" s="5" t="s">
        <v>41</v>
      </c>
      <c r="R20" s="5" t="s">
        <v>88</v>
      </c>
      <c r="T20" s="41">
        <f>P21/(P21+Q21)</f>
        <v>0.4</v>
      </c>
      <c r="U20" s="41">
        <f>1-T20</f>
        <v>0.6</v>
      </c>
      <c r="V20" s="40">
        <f>Q22/(Q22+P22)</f>
        <v>0.36</v>
      </c>
      <c r="W20" s="40">
        <f>1-V20</f>
        <v>0.64</v>
      </c>
    </row>
    <row r="21" spans="1:23" x14ac:dyDescent="0.3">
      <c r="A21" s="54"/>
      <c r="B21" s="54"/>
      <c r="C21" s="70"/>
      <c r="D21" s="54"/>
      <c r="E21" s="54"/>
      <c r="F21" s="54"/>
      <c r="H21">
        <v>2</v>
      </c>
      <c r="I21">
        <v>2</v>
      </c>
      <c r="J21">
        <v>2</v>
      </c>
      <c r="K21">
        <v>2</v>
      </c>
      <c r="N21" s="53"/>
      <c r="O21" s="5" t="s">
        <v>87</v>
      </c>
      <c r="P21" s="7">
        <v>10</v>
      </c>
      <c r="Q21" s="7">
        <v>15</v>
      </c>
      <c r="R21" s="7">
        <f>P21+Q21</f>
        <v>25</v>
      </c>
    </row>
    <row r="22" spans="1:23" x14ac:dyDescent="0.3">
      <c r="A22" s="37">
        <v>1</v>
      </c>
      <c r="B22" s="37">
        <v>78</v>
      </c>
      <c r="C22" s="40">
        <f>($C$4*$D$11*$A$11^0)+($D$3*$B$11*$C$11^0)</f>
        <v>75.518410852713174</v>
      </c>
      <c r="D22" s="37">
        <v>80.236999999999995</v>
      </c>
      <c r="E22" s="5" t="s">
        <v>125</v>
      </c>
      <c r="F22" s="5" t="s">
        <v>125</v>
      </c>
      <c r="H22">
        <v>1</v>
      </c>
      <c r="I22">
        <v>1</v>
      </c>
      <c r="J22">
        <v>1</v>
      </c>
      <c r="K22">
        <v>2</v>
      </c>
      <c r="N22" s="53"/>
      <c r="O22" s="5" t="s">
        <v>41</v>
      </c>
      <c r="P22" s="7">
        <v>16</v>
      </c>
      <c r="Q22" s="7">
        <v>9</v>
      </c>
      <c r="R22" s="7">
        <f>P22+Q22</f>
        <v>25</v>
      </c>
    </row>
    <row r="23" spans="1:23" x14ac:dyDescent="0.3">
      <c r="A23" s="37">
        <v>2</v>
      </c>
      <c r="B23" s="37">
        <v>25</v>
      </c>
      <c r="C23" s="40">
        <f>($C$4*$D$11*$A$11^1)+($D$3*$B$11*$C$11^1)</f>
        <v>27.023498062015506</v>
      </c>
      <c r="D23" s="37">
        <v>26.451000000000001</v>
      </c>
      <c r="E23" s="5" t="s">
        <v>125</v>
      </c>
      <c r="F23" s="5" t="s">
        <v>125</v>
      </c>
      <c r="H23">
        <v>1</v>
      </c>
      <c r="I23">
        <v>1</v>
      </c>
      <c r="J23">
        <v>2</v>
      </c>
      <c r="K23">
        <v>1</v>
      </c>
      <c r="N23" s="5" t="s">
        <v>88</v>
      </c>
      <c r="O23" s="5"/>
      <c r="P23" s="7">
        <f>P21+P22</f>
        <v>26</v>
      </c>
      <c r="Q23" s="7">
        <f>Q21+Q22</f>
        <v>24</v>
      </c>
      <c r="R23" s="7">
        <f>R21+R22</f>
        <v>50</v>
      </c>
    </row>
    <row r="24" spans="1:23" x14ac:dyDescent="0.3">
      <c r="A24" s="37">
        <v>3</v>
      </c>
      <c r="B24" s="37">
        <v>11</v>
      </c>
      <c r="C24" s="40">
        <f>($C$4*$D$11*$A$11^2)+($D$3*$B$11*$C$11^2)</f>
        <v>9.7960040102382671</v>
      </c>
      <c r="D24" s="37">
        <v>8.907</v>
      </c>
      <c r="E24" s="37">
        <v>5</v>
      </c>
      <c r="F24" s="5">
        <v>6</v>
      </c>
      <c r="H24">
        <v>1</v>
      </c>
      <c r="I24">
        <v>1</v>
      </c>
      <c r="J24">
        <v>1</v>
      </c>
      <c r="K24">
        <v>1</v>
      </c>
    </row>
    <row r="25" spans="1:23" x14ac:dyDescent="0.3">
      <c r="A25" s="37">
        <v>4</v>
      </c>
      <c r="B25" s="37">
        <v>4</v>
      </c>
      <c r="C25" s="40">
        <f>($C$4*$D$11*$A$11^3)+($D$3*$B$11*$C$11^3)</f>
        <v>3.5947764641919013</v>
      </c>
      <c r="D25" s="37">
        <v>3.07</v>
      </c>
      <c r="E25" s="5">
        <v>4</v>
      </c>
      <c r="F25" s="5">
        <v>0</v>
      </c>
      <c r="H25">
        <v>2</v>
      </c>
      <c r="I25">
        <v>1</v>
      </c>
      <c r="J25">
        <v>2</v>
      </c>
      <c r="K25">
        <v>2</v>
      </c>
    </row>
    <row r="26" spans="1:23" x14ac:dyDescent="0.3">
      <c r="A26" s="37">
        <v>5</v>
      </c>
      <c r="B26" s="37">
        <v>1</v>
      </c>
      <c r="C26" s="40">
        <f>($C$4*$D$11*$A$11^4)+($D$3*$B$11*$C$11^4)</f>
        <v>1.3341436489413854</v>
      </c>
      <c r="D26" s="37">
        <v>1.103</v>
      </c>
      <c r="E26" s="5">
        <v>1</v>
      </c>
      <c r="F26" s="5">
        <v>0</v>
      </c>
      <c r="H26">
        <v>1</v>
      </c>
      <c r="I26">
        <v>2</v>
      </c>
      <c r="J26">
        <v>1</v>
      </c>
      <c r="K26">
        <v>2</v>
      </c>
    </row>
    <row r="27" spans="1:23" x14ac:dyDescent="0.3">
      <c r="A27" s="37">
        <v>6</v>
      </c>
      <c r="B27" s="37">
        <v>0</v>
      </c>
      <c r="C27" s="40">
        <f>($C$4*$D$11*$A$11^5)+($D$3*$B$11*$C$11^5)</f>
        <v>0.50022300515208673</v>
      </c>
      <c r="D27" s="37">
        <v>0.41899999999999998</v>
      </c>
      <c r="E27" s="5">
        <v>0</v>
      </c>
      <c r="F27" s="5">
        <v>0</v>
      </c>
      <c r="H27">
        <v>2</v>
      </c>
      <c r="I27">
        <v>1</v>
      </c>
      <c r="J27">
        <v>2</v>
      </c>
      <c r="K27">
        <v>1</v>
      </c>
    </row>
    <row r="28" spans="1:23" x14ac:dyDescent="0.3">
      <c r="A28" s="37">
        <v>7</v>
      </c>
      <c r="B28" s="37">
        <v>0</v>
      </c>
      <c r="C28" s="40">
        <f>($C$4*$D$11*$A$11^6)+($D$3*$B$11*$C$11^6)</f>
        <v>0.18925332199338263</v>
      </c>
      <c r="D28" s="37">
        <v>0.14899999999999999</v>
      </c>
      <c r="E28" s="5">
        <v>0</v>
      </c>
      <c r="F28" s="5">
        <v>0</v>
      </c>
      <c r="H28">
        <v>1</v>
      </c>
      <c r="I28">
        <v>1</v>
      </c>
      <c r="J28">
        <v>2</v>
      </c>
      <c r="K28">
        <v>2</v>
      </c>
    </row>
    <row r="29" spans="1:23" x14ac:dyDescent="0.3">
      <c r="A29" s="37">
        <v>8</v>
      </c>
      <c r="B29" s="37">
        <v>0</v>
      </c>
      <c r="C29" s="40">
        <f>($C$4*$D$11*$A$11^7)+($D$3*$B$11*$C$11^7)</f>
        <v>7.2165172431586863E-2</v>
      </c>
      <c r="D29" s="37">
        <v>6.5000000000000002E-2</v>
      </c>
      <c r="E29" s="5">
        <v>0</v>
      </c>
      <c r="F29" s="5">
        <v>0</v>
      </c>
      <c r="H29">
        <v>2</v>
      </c>
      <c r="I29">
        <v>1</v>
      </c>
      <c r="J29">
        <v>1</v>
      </c>
      <c r="K29">
        <v>2</v>
      </c>
    </row>
    <row r="30" spans="1:23" x14ac:dyDescent="0.3">
      <c r="A30" s="37" t="s">
        <v>103</v>
      </c>
      <c r="B30" s="37">
        <v>0</v>
      </c>
      <c r="C30" s="40">
        <f>($C$4*$D$11*$A$11^8)+($D$3*$B$11*$C$11^8)</f>
        <v>2.7702761880315944E-2</v>
      </c>
      <c r="D30" s="37">
        <v>2.9000000000000001E-2</v>
      </c>
      <c r="E30" s="5">
        <v>0</v>
      </c>
      <c r="F30" s="5">
        <v>0</v>
      </c>
      <c r="H30">
        <v>1</v>
      </c>
      <c r="I30">
        <v>2</v>
      </c>
      <c r="J30">
        <v>2</v>
      </c>
      <c r="K30">
        <v>1</v>
      </c>
    </row>
    <row r="31" spans="1:23" x14ac:dyDescent="0.3">
      <c r="H31">
        <v>2</v>
      </c>
      <c r="I31">
        <v>2</v>
      </c>
      <c r="J31">
        <v>2</v>
      </c>
      <c r="K31">
        <v>2</v>
      </c>
    </row>
    <row r="32" spans="1:23" ht="14.4" customHeight="1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1</v>
      </c>
      <c r="I32">
        <v>1</v>
      </c>
      <c r="J32">
        <v>2</v>
      </c>
      <c r="K32">
        <v>2</v>
      </c>
    </row>
    <row r="33" spans="1:11" x14ac:dyDescent="0.3">
      <c r="A33" s="53"/>
      <c r="B33" s="54"/>
      <c r="C33" s="54"/>
      <c r="D33" s="54"/>
      <c r="E33" s="54"/>
      <c r="F33" s="53"/>
      <c r="G33" s="53"/>
      <c r="H33">
        <v>2</v>
      </c>
      <c r="I33">
        <v>2</v>
      </c>
      <c r="J33">
        <v>1</v>
      </c>
      <c r="K33">
        <v>1</v>
      </c>
    </row>
    <row r="34" spans="1:11" x14ac:dyDescent="0.3">
      <c r="A34" s="5" t="s">
        <v>87</v>
      </c>
      <c r="B34" s="64">
        <f>E24+E25+E26+E27+E28+E29+E30</f>
        <v>10</v>
      </c>
      <c r="C34" s="65"/>
      <c r="D34" s="66">
        <f>E24*1+E25*2+E26*3+E27*4+E28*5+E29*6+E30*7</f>
        <v>16</v>
      </c>
      <c r="E34" s="67"/>
      <c r="F34" s="48">
        <f>B34/D34</f>
        <v>0.625</v>
      </c>
      <c r="G34" s="49">
        <f>F34</f>
        <v>0.625</v>
      </c>
      <c r="H34">
        <v>1</v>
      </c>
      <c r="I34">
        <v>2</v>
      </c>
      <c r="J34">
        <v>2</v>
      </c>
      <c r="K34">
        <v>2</v>
      </c>
    </row>
    <row r="35" spans="1:11" x14ac:dyDescent="0.3">
      <c r="A35" s="5" t="s">
        <v>41</v>
      </c>
      <c r="B35" s="64">
        <f>F24+F25+F26+F27+F28+F29+F30</f>
        <v>6</v>
      </c>
      <c r="C35" s="65"/>
      <c r="D35" s="66">
        <f>F24*1+F25*2+F26*3+F27*4+F28*5+F29*6+F30*7</f>
        <v>6</v>
      </c>
      <c r="E35" s="67"/>
      <c r="F35" s="48">
        <f>B35/D35</f>
        <v>1</v>
      </c>
      <c r="G35" s="49">
        <f>F35</f>
        <v>1</v>
      </c>
      <c r="H35">
        <v>2</v>
      </c>
      <c r="I35">
        <v>1</v>
      </c>
      <c r="J35">
        <v>2</v>
      </c>
      <c r="K35">
        <v>1</v>
      </c>
    </row>
    <row r="36" spans="1:11" x14ac:dyDescent="0.3">
      <c r="H36">
        <v>1</v>
      </c>
      <c r="I36">
        <v>2</v>
      </c>
      <c r="J36">
        <v>2</v>
      </c>
      <c r="K36">
        <v>2</v>
      </c>
    </row>
    <row r="37" spans="1:11" x14ac:dyDescent="0.3">
      <c r="H37">
        <v>1</v>
      </c>
      <c r="I37">
        <v>1</v>
      </c>
      <c r="J37">
        <v>1</v>
      </c>
      <c r="K37">
        <v>2</v>
      </c>
    </row>
    <row r="38" spans="1:11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2</v>
      </c>
      <c r="I38">
        <v>1</v>
      </c>
      <c r="J38">
        <v>2</v>
      </c>
      <c r="K38">
        <v>2</v>
      </c>
    </row>
    <row r="39" spans="1:11" x14ac:dyDescent="0.3">
      <c r="A39" s="80" t="s">
        <v>87</v>
      </c>
      <c r="B39" s="83">
        <v>10</v>
      </c>
      <c r="C39" s="83"/>
      <c r="D39" s="92">
        <v>38</v>
      </c>
      <c r="E39" s="92"/>
      <c r="F39" s="82">
        <f>SUM(B39+D39)</f>
        <v>48</v>
      </c>
      <c r="H39">
        <v>2</v>
      </c>
      <c r="I39">
        <v>1</v>
      </c>
      <c r="J39">
        <v>1</v>
      </c>
      <c r="K39">
        <v>1</v>
      </c>
    </row>
    <row r="40" spans="1:11" x14ac:dyDescent="0.3">
      <c r="A40" s="80" t="s">
        <v>41</v>
      </c>
      <c r="B40" s="83">
        <v>6</v>
      </c>
      <c r="C40" s="83"/>
      <c r="D40" s="92">
        <v>27</v>
      </c>
      <c r="E40" s="92"/>
      <c r="F40" s="82">
        <f>SUM(B40+D40)</f>
        <v>33</v>
      </c>
      <c r="H40">
        <v>2</v>
      </c>
      <c r="I40">
        <v>1</v>
      </c>
      <c r="J40">
        <v>1</v>
      </c>
      <c r="K40">
        <v>1</v>
      </c>
    </row>
    <row r="41" spans="1:11" x14ac:dyDescent="0.3">
      <c r="A41" s="85"/>
      <c r="B41" s="86">
        <f>SUM(B39:B40)</f>
        <v>16</v>
      </c>
      <c r="C41" s="86"/>
      <c r="D41" s="87">
        <f>SUM(D39:D40)</f>
        <v>65</v>
      </c>
      <c r="E41" s="87"/>
      <c r="F41" s="82">
        <f>SUM(F39:F40)</f>
        <v>81</v>
      </c>
      <c r="H41">
        <v>1</v>
      </c>
      <c r="J41">
        <v>1</v>
      </c>
      <c r="K41">
        <v>2</v>
      </c>
    </row>
    <row r="42" spans="1:11" x14ac:dyDescent="0.3">
      <c r="A42" s="40"/>
      <c r="B42" s="84" t="s">
        <v>134</v>
      </c>
      <c r="C42" s="84"/>
      <c r="D42" s="84" t="s">
        <v>132</v>
      </c>
      <c r="E42" s="84"/>
      <c r="F42" s="73"/>
      <c r="H42">
        <v>2</v>
      </c>
      <c r="J42">
        <v>1</v>
      </c>
      <c r="K42">
        <v>1</v>
      </c>
    </row>
    <row r="43" spans="1:11" x14ac:dyDescent="0.3">
      <c r="A43" s="82" t="s">
        <v>87</v>
      </c>
      <c r="B43" s="81">
        <f>B41*F39/F41</f>
        <v>9.481481481481481</v>
      </c>
      <c r="C43" s="81"/>
      <c r="D43" s="81">
        <f>D41*F39/F41</f>
        <v>38.518518518518519</v>
      </c>
      <c r="E43" s="81"/>
      <c r="F43" s="73"/>
      <c r="H43">
        <v>2</v>
      </c>
      <c r="J43">
        <v>1</v>
      </c>
      <c r="K43">
        <v>2</v>
      </c>
    </row>
    <row r="44" spans="1:11" x14ac:dyDescent="0.3">
      <c r="A44" s="82" t="s">
        <v>41</v>
      </c>
      <c r="B44" s="81">
        <f>B41*F40/F41</f>
        <v>6.5185185185185182</v>
      </c>
      <c r="C44" s="81"/>
      <c r="D44" s="81">
        <f>D41*F40/F41</f>
        <v>26.481481481481481</v>
      </c>
      <c r="E44" s="81"/>
      <c r="F44" s="73"/>
      <c r="H44">
        <v>1</v>
      </c>
      <c r="J44">
        <v>2</v>
      </c>
      <c r="K44">
        <v>1</v>
      </c>
    </row>
    <row r="45" spans="1:11" x14ac:dyDescent="0.3">
      <c r="A45" s="88"/>
      <c r="B45" s="88"/>
      <c r="C45" s="88"/>
      <c r="D45" s="88"/>
      <c r="E45" s="88"/>
      <c r="F45" s="73"/>
      <c r="H45">
        <v>2</v>
      </c>
      <c r="J45">
        <v>2</v>
      </c>
      <c r="K45">
        <v>1</v>
      </c>
    </row>
    <row r="46" spans="1:11" x14ac:dyDescent="0.3">
      <c r="A46" s="88" t="s">
        <v>135</v>
      </c>
      <c r="B46" s="89">
        <f>CHITEST(B39:E40,B43:E44)</f>
        <v>0.99338029106985071</v>
      </c>
      <c r="C46" s="88"/>
      <c r="D46" s="88"/>
      <c r="E46" s="88"/>
      <c r="F46" s="73"/>
      <c r="H46">
        <v>2</v>
      </c>
      <c r="J46">
        <v>1</v>
      </c>
      <c r="K46">
        <v>2</v>
      </c>
    </row>
    <row r="47" spans="1:11" x14ac:dyDescent="0.3">
      <c r="H47">
        <v>2</v>
      </c>
      <c r="J47">
        <v>2</v>
      </c>
      <c r="K47">
        <v>1</v>
      </c>
    </row>
    <row r="48" spans="1:11" x14ac:dyDescent="0.3">
      <c r="J48">
        <v>1</v>
      </c>
      <c r="K48">
        <v>2</v>
      </c>
    </row>
    <row r="49" spans="1:11" x14ac:dyDescent="0.3">
      <c r="K49">
        <v>1</v>
      </c>
    </row>
    <row r="50" spans="1:11" x14ac:dyDescent="0.3">
      <c r="A50" s="71"/>
      <c r="B50" s="72"/>
      <c r="C50" s="72"/>
      <c r="D50" s="91"/>
      <c r="E50" s="91"/>
      <c r="F50" s="75"/>
      <c r="K50">
        <v>1</v>
      </c>
    </row>
    <row r="51" spans="1:11" x14ac:dyDescent="0.3">
      <c r="A51" s="72"/>
      <c r="B51" s="72"/>
      <c r="C51" s="72"/>
      <c r="D51" s="91"/>
      <c r="E51" s="91"/>
      <c r="F51" s="75"/>
      <c r="K51">
        <v>1</v>
      </c>
    </row>
    <row r="52" spans="1:11" x14ac:dyDescent="0.3">
      <c r="A52" s="72"/>
      <c r="B52" s="93"/>
      <c r="C52" s="93"/>
      <c r="D52" s="94"/>
      <c r="E52" s="94"/>
      <c r="F52" s="73"/>
    </row>
    <row r="53" spans="1:11" x14ac:dyDescent="0.3">
      <c r="A53" s="72"/>
      <c r="B53" s="93"/>
      <c r="C53" s="93"/>
      <c r="D53" s="94"/>
      <c r="E53" s="94"/>
      <c r="F53" s="73"/>
    </row>
    <row r="54" spans="1:11" x14ac:dyDescent="0.3">
      <c r="A54" s="71"/>
      <c r="B54" s="71"/>
      <c r="C54" s="74"/>
      <c r="D54" s="74"/>
      <c r="E54" s="74"/>
      <c r="F54" s="73"/>
    </row>
    <row r="55" spans="1:11" x14ac:dyDescent="0.3">
      <c r="A55" s="73"/>
      <c r="B55" s="73"/>
      <c r="C55" s="73"/>
      <c r="D55" s="73"/>
      <c r="E55" s="73"/>
      <c r="F55" s="73"/>
    </row>
    <row r="56" spans="1:11" x14ac:dyDescent="0.3">
      <c r="A56" s="73"/>
      <c r="B56" s="90"/>
      <c r="C56" s="90"/>
      <c r="D56" s="90"/>
      <c r="E56" s="90"/>
      <c r="F56" s="73"/>
    </row>
    <row r="57" spans="1:11" x14ac:dyDescent="0.3">
      <c r="A57" s="73"/>
      <c r="B57" s="90"/>
      <c r="C57" s="90"/>
      <c r="D57" s="90"/>
      <c r="E57" s="90"/>
      <c r="F57" s="73"/>
    </row>
    <row r="58" spans="1:11" x14ac:dyDescent="0.3">
      <c r="A58" s="73"/>
      <c r="B58" s="73"/>
      <c r="C58" s="73"/>
      <c r="D58" s="73"/>
      <c r="E58" s="73"/>
      <c r="F58" s="73"/>
    </row>
    <row r="59" spans="1:11" x14ac:dyDescent="0.3">
      <c r="A59" s="73"/>
      <c r="B59" s="73"/>
      <c r="C59" s="73"/>
      <c r="D59" s="73"/>
      <c r="E59" s="73"/>
      <c r="F59" s="73"/>
    </row>
  </sheetData>
  <mergeCells count="40">
    <mergeCell ref="B44:C44"/>
    <mergeCell ref="D44:E44"/>
    <mergeCell ref="B41:C41"/>
    <mergeCell ref="D41:E41"/>
    <mergeCell ref="B42:C42"/>
    <mergeCell ref="D42:E42"/>
    <mergeCell ref="B43:C43"/>
    <mergeCell ref="D43:E43"/>
    <mergeCell ref="D38:E38"/>
    <mergeCell ref="B39:C39"/>
    <mergeCell ref="D39:E39"/>
    <mergeCell ref="B40:C40"/>
    <mergeCell ref="D40:E40"/>
    <mergeCell ref="G32:G33"/>
    <mergeCell ref="N14:N16"/>
    <mergeCell ref="O19:Q19"/>
    <mergeCell ref="N20:N22"/>
    <mergeCell ref="B34:C34"/>
    <mergeCell ref="D34:E34"/>
    <mergeCell ref="B32:C33"/>
    <mergeCell ref="D32:E33"/>
    <mergeCell ref="O1:Q1"/>
    <mergeCell ref="N2:N4"/>
    <mergeCell ref="O7:Q7"/>
    <mergeCell ref="N8:N10"/>
    <mergeCell ref="O13:Q13"/>
    <mergeCell ref="B1:D1"/>
    <mergeCell ref="A2:A4"/>
    <mergeCell ref="E10:F12"/>
    <mergeCell ref="A18:A21"/>
    <mergeCell ref="B18:B21"/>
    <mergeCell ref="C18:C21"/>
    <mergeCell ref="D18:D21"/>
    <mergeCell ref="E18:E21"/>
    <mergeCell ref="F18:F21"/>
    <mergeCell ref="F32:F33"/>
    <mergeCell ref="B35:C35"/>
    <mergeCell ref="D35:E35"/>
    <mergeCell ref="A32:A33"/>
    <mergeCell ref="B38:C38"/>
  </mergeCells>
  <conditionalFormatting sqref="A55:E55 A56:B57 D56:D57 A58:E59">
    <cfRule type="cellIs" dxfId="168" priority="5" operator="equal">
      <formula>1</formula>
    </cfRule>
    <cfRule type="cellIs" dxfId="167" priority="6" operator="equal">
      <formula>2</formula>
    </cfRule>
    <cfRule type="cellIs" dxfId="166" priority="7" operator="equal">
      <formula>1</formula>
    </cfRule>
    <cfRule type="cellIs" dxfId="165" priority="8" operator="equal">
      <formula>2</formula>
    </cfRule>
  </conditionalFormatting>
  <conditionalFormatting sqref="H1:K51">
    <cfRule type="cellIs" dxfId="164" priority="9" operator="equal">
      <formula>1</formula>
    </cfRule>
    <cfRule type="cellIs" dxfId="163" priority="10" operator="equal">
      <formula>2</formula>
    </cfRule>
  </conditionalFormatting>
  <conditionalFormatting sqref="A43:B44 A45:E46 D42:D44 B42">
    <cfRule type="cellIs" dxfId="87" priority="1" operator="equal">
      <formula>1</formula>
    </cfRule>
    <cfRule type="cellIs" dxfId="86" priority="2" operator="equal">
      <formula>2</formula>
    </cfRule>
    <cfRule type="cellIs" dxfId="85" priority="3" operator="equal">
      <formula>1</formula>
    </cfRule>
    <cfRule type="cellIs" dxfId="84" priority="4" operator="equal">
      <formula>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24DB-6066-4C30-9650-9263CB90C994}">
  <dimension ref="A1:W60"/>
  <sheetViews>
    <sheetView topLeftCell="A16" workbookViewId="0">
      <selection activeCell="A45" sqref="A45"/>
    </sheetView>
  </sheetViews>
  <sheetFormatPr defaultRowHeight="14.4" x14ac:dyDescent="0.3"/>
  <cols>
    <col min="3" max="3" width="10" customWidth="1"/>
  </cols>
  <sheetData>
    <row r="1" spans="1:23" x14ac:dyDescent="0.3">
      <c r="A1" s="5"/>
      <c r="B1" s="53" t="s">
        <v>90</v>
      </c>
      <c r="C1" s="53"/>
      <c r="D1" s="53"/>
      <c r="E1" s="5"/>
      <c r="H1">
        <v>2</v>
      </c>
      <c r="I1">
        <v>1</v>
      </c>
      <c r="J1">
        <v>2</v>
      </c>
      <c r="K1">
        <v>1</v>
      </c>
      <c r="L1">
        <v>2</v>
      </c>
      <c r="N1" s="5" t="s">
        <v>113</v>
      </c>
      <c r="O1" s="53" t="s">
        <v>90</v>
      </c>
      <c r="P1" s="53"/>
      <c r="Q1" s="53"/>
      <c r="R1" s="5"/>
      <c r="T1" s="9" t="s">
        <v>83</v>
      </c>
      <c r="U1" s="9" t="s">
        <v>84</v>
      </c>
      <c r="V1" s="9" t="s">
        <v>85</v>
      </c>
      <c r="W1" s="9" t="s">
        <v>86</v>
      </c>
    </row>
    <row r="2" spans="1:23" x14ac:dyDescent="0.3">
      <c r="A2" s="53" t="s">
        <v>89</v>
      </c>
      <c r="B2" s="5"/>
      <c r="C2" s="5" t="s">
        <v>87</v>
      </c>
      <c r="D2" s="5" t="s">
        <v>41</v>
      </c>
      <c r="E2" s="5" t="s">
        <v>88</v>
      </c>
      <c r="H2">
        <v>2</v>
      </c>
      <c r="I2">
        <v>2</v>
      </c>
      <c r="J2">
        <v>1</v>
      </c>
      <c r="K2">
        <v>2</v>
      </c>
      <c r="L2">
        <v>1</v>
      </c>
      <c r="N2" s="53" t="s">
        <v>89</v>
      </c>
      <c r="O2" s="5"/>
      <c r="P2" s="5" t="s">
        <v>87</v>
      </c>
      <c r="Q2" s="5" t="s">
        <v>41</v>
      </c>
      <c r="R2" s="5" t="s">
        <v>88</v>
      </c>
      <c r="T2" s="41">
        <f>P3/(P3+Q3)</f>
        <v>0.375</v>
      </c>
      <c r="U2" s="41">
        <f>1-T2</f>
        <v>0.625</v>
      </c>
      <c r="V2" s="41">
        <f>Q4/(Q4+P4)</f>
        <v>0.33333333333333331</v>
      </c>
      <c r="W2" s="41">
        <f>1-V2</f>
        <v>0.66666666666666674</v>
      </c>
    </row>
    <row r="3" spans="1:23" x14ac:dyDescent="0.3">
      <c r="A3" s="53"/>
      <c r="B3" s="5" t="s">
        <v>87</v>
      </c>
      <c r="C3" s="7">
        <v>38</v>
      </c>
      <c r="D3" s="7">
        <v>65</v>
      </c>
      <c r="E3" s="7">
        <f>C3+D3</f>
        <v>103</v>
      </c>
      <c r="H3">
        <v>1</v>
      </c>
      <c r="I3">
        <v>2</v>
      </c>
      <c r="J3">
        <v>2</v>
      </c>
      <c r="K3">
        <v>2</v>
      </c>
      <c r="L3">
        <v>2</v>
      </c>
      <c r="N3" s="53"/>
      <c r="O3" s="5" t="s">
        <v>87</v>
      </c>
      <c r="P3" s="7">
        <v>9</v>
      </c>
      <c r="Q3" s="7">
        <v>15</v>
      </c>
      <c r="R3" s="7">
        <f>P3+Q3</f>
        <v>24</v>
      </c>
      <c r="T3" t="s">
        <v>116</v>
      </c>
    </row>
    <row r="4" spans="1:23" x14ac:dyDescent="0.3">
      <c r="A4" s="53"/>
      <c r="B4" s="5" t="s">
        <v>41</v>
      </c>
      <c r="C4" s="7">
        <v>66</v>
      </c>
      <c r="D4" s="7">
        <v>33</v>
      </c>
      <c r="E4" s="7">
        <f>C4+D4</f>
        <v>99</v>
      </c>
      <c r="H4">
        <v>1</v>
      </c>
      <c r="I4">
        <v>1</v>
      </c>
      <c r="J4">
        <v>1</v>
      </c>
      <c r="K4">
        <v>2</v>
      </c>
      <c r="L4">
        <v>2</v>
      </c>
      <c r="N4" s="53"/>
      <c r="O4" s="5" t="s">
        <v>41</v>
      </c>
      <c r="P4" s="7">
        <v>16</v>
      </c>
      <c r="Q4" s="7">
        <v>8</v>
      </c>
      <c r="R4" s="7">
        <f>P4+Q4</f>
        <v>24</v>
      </c>
    </row>
    <row r="5" spans="1:23" x14ac:dyDescent="0.3">
      <c r="A5" s="5" t="s">
        <v>88</v>
      </c>
      <c r="B5" s="5"/>
      <c r="C5" s="7">
        <f>C3+C4</f>
        <v>104</v>
      </c>
      <c r="D5" s="7">
        <f>D3+D4</f>
        <v>98</v>
      </c>
      <c r="E5" s="7">
        <f>E3+E4</f>
        <v>202</v>
      </c>
      <c r="H5">
        <v>2</v>
      </c>
      <c r="I5">
        <v>2</v>
      </c>
      <c r="J5">
        <v>1</v>
      </c>
      <c r="K5">
        <v>2</v>
      </c>
      <c r="L5">
        <v>1</v>
      </c>
      <c r="N5" s="5" t="s">
        <v>88</v>
      </c>
      <c r="O5" s="5"/>
      <c r="P5" s="7">
        <f>P3+P4</f>
        <v>25</v>
      </c>
      <c r="Q5" s="7">
        <f>Q3+Q4</f>
        <v>23</v>
      </c>
      <c r="R5" s="7">
        <f>R3+R4</f>
        <v>48</v>
      </c>
    </row>
    <row r="6" spans="1:23" x14ac:dyDescent="0.3">
      <c r="H6">
        <v>1</v>
      </c>
      <c r="I6">
        <v>1</v>
      </c>
      <c r="J6">
        <v>1</v>
      </c>
      <c r="K6">
        <v>1</v>
      </c>
      <c r="L6">
        <v>2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2</v>
      </c>
      <c r="I7">
        <v>2</v>
      </c>
      <c r="J7">
        <v>1</v>
      </c>
      <c r="K7">
        <v>2</v>
      </c>
      <c r="L7">
        <v>1</v>
      </c>
      <c r="N7" s="5" t="s">
        <v>114</v>
      </c>
      <c r="O7" s="53" t="s">
        <v>90</v>
      </c>
      <c r="P7" s="53"/>
      <c r="Q7" s="53"/>
      <c r="R7" s="5"/>
      <c r="T7" s="9" t="s">
        <v>83</v>
      </c>
      <c r="U7" s="9" t="s">
        <v>84</v>
      </c>
      <c r="V7" s="9" t="s">
        <v>85</v>
      </c>
      <c r="W7" s="9" t="s">
        <v>86</v>
      </c>
    </row>
    <row r="8" spans="1:23" x14ac:dyDescent="0.3">
      <c r="A8" s="8">
        <f>C3/C5</f>
        <v>0.36538461538461536</v>
      </c>
      <c r="B8" s="8">
        <f>1-A8</f>
        <v>0.63461538461538458</v>
      </c>
      <c r="C8" s="8">
        <f>D4/E4</f>
        <v>0.33333333333333331</v>
      </c>
      <c r="D8" s="8">
        <f>1-C8</f>
        <v>0.66666666666666674</v>
      </c>
      <c r="H8">
        <v>1</v>
      </c>
      <c r="I8">
        <v>2</v>
      </c>
      <c r="J8">
        <v>2</v>
      </c>
      <c r="K8">
        <v>1</v>
      </c>
      <c r="L8">
        <v>2</v>
      </c>
      <c r="N8" s="53" t="s">
        <v>89</v>
      </c>
      <c r="O8" s="5"/>
      <c r="P8" s="5" t="s">
        <v>87</v>
      </c>
      <c r="Q8" s="5" t="s">
        <v>41</v>
      </c>
      <c r="R8" s="5" t="s">
        <v>88</v>
      </c>
      <c r="T8" s="41">
        <f>P9/(P9+Q9)</f>
        <v>0.375</v>
      </c>
      <c r="U8" s="41">
        <f>1-T8</f>
        <v>0.625</v>
      </c>
      <c r="V8" s="41">
        <f>Q10/(Q10+P10)</f>
        <v>0.41666666666666669</v>
      </c>
      <c r="W8" s="41">
        <f>1-V8</f>
        <v>0.58333333333333326</v>
      </c>
    </row>
    <row r="9" spans="1:23" x14ac:dyDescent="0.3">
      <c r="H9">
        <v>2</v>
      </c>
      <c r="I9">
        <v>2</v>
      </c>
      <c r="J9">
        <v>1</v>
      </c>
      <c r="K9">
        <v>2</v>
      </c>
      <c r="L9">
        <v>1</v>
      </c>
      <c r="N9" s="53"/>
      <c r="O9" s="5" t="s">
        <v>87</v>
      </c>
      <c r="P9" s="7">
        <v>9</v>
      </c>
      <c r="Q9" s="7">
        <v>15</v>
      </c>
      <c r="R9" s="7">
        <f>P9+Q9</f>
        <v>24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2</v>
      </c>
      <c r="I10">
        <v>1</v>
      </c>
      <c r="J10">
        <v>2</v>
      </c>
      <c r="K10">
        <v>2</v>
      </c>
      <c r="L10">
        <v>1</v>
      </c>
      <c r="N10" s="53"/>
      <c r="O10" s="5" t="s">
        <v>41</v>
      </c>
      <c r="P10" s="7">
        <v>14</v>
      </c>
      <c r="Q10" s="7">
        <v>10</v>
      </c>
      <c r="R10" s="7">
        <f>P10+Q10</f>
        <v>24</v>
      </c>
    </row>
    <row r="11" spans="1:23" x14ac:dyDescent="0.3">
      <c r="A11" s="43">
        <f>C3/E3</f>
        <v>0.36893203883495146</v>
      </c>
      <c r="B11" s="43">
        <f>1-A11</f>
        <v>0.63106796116504849</v>
      </c>
      <c r="C11" s="43">
        <f>D4/E4</f>
        <v>0.33333333333333331</v>
      </c>
      <c r="D11" s="43">
        <f>1-C11</f>
        <v>0.66666666666666674</v>
      </c>
      <c r="E11" s="59"/>
      <c r="F11" s="59"/>
      <c r="H11">
        <v>1</v>
      </c>
      <c r="I11">
        <v>1</v>
      </c>
      <c r="J11">
        <v>1</v>
      </c>
      <c r="K11">
        <v>1</v>
      </c>
      <c r="L11">
        <v>2</v>
      </c>
      <c r="N11" s="5" t="s">
        <v>88</v>
      </c>
      <c r="O11" s="5"/>
      <c r="P11" s="7">
        <f>P9+P10</f>
        <v>23</v>
      </c>
      <c r="Q11" s="7">
        <f>Q9+Q10</f>
        <v>25</v>
      </c>
      <c r="R11" s="7">
        <f>R9+R10</f>
        <v>48</v>
      </c>
    </row>
    <row r="12" spans="1:23" x14ac:dyDescent="0.3">
      <c r="E12" s="59"/>
      <c r="F12" s="59"/>
      <c r="H12">
        <v>1</v>
      </c>
      <c r="I12">
        <v>2</v>
      </c>
      <c r="J12">
        <v>1</v>
      </c>
      <c r="K12">
        <v>1</v>
      </c>
      <c r="L12">
        <v>1</v>
      </c>
    </row>
    <row r="13" spans="1:23" x14ac:dyDescent="0.3">
      <c r="H13">
        <v>1</v>
      </c>
      <c r="I13">
        <v>1</v>
      </c>
      <c r="J13">
        <v>2</v>
      </c>
      <c r="K13">
        <v>2</v>
      </c>
      <c r="L13">
        <v>2</v>
      </c>
      <c r="N13" s="5" t="s">
        <v>115</v>
      </c>
      <c r="O13" s="53" t="s">
        <v>90</v>
      </c>
      <c r="P13" s="53"/>
      <c r="Q13" s="53"/>
      <c r="R13" s="5"/>
      <c r="T13" s="9" t="s">
        <v>83</v>
      </c>
      <c r="U13" s="9" t="s">
        <v>84</v>
      </c>
      <c r="V13" s="9" t="s">
        <v>85</v>
      </c>
      <c r="W13" s="9" t="s">
        <v>86</v>
      </c>
    </row>
    <row r="14" spans="1:23" x14ac:dyDescent="0.3">
      <c r="H14">
        <v>1</v>
      </c>
      <c r="I14">
        <v>2</v>
      </c>
      <c r="J14">
        <v>2</v>
      </c>
      <c r="K14">
        <v>1</v>
      </c>
      <c r="L14">
        <v>1</v>
      </c>
      <c r="N14" s="53" t="s">
        <v>89</v>
      </c>
      <c r="O14" s="5"/>
      <c r="P14" s="5" t="s">
        <v>87</v>
      </c>
      <c r="Q14" s="5" t="s">
        <v>41</v>
      </c>
      <c r="R14" s="5" t="s">
        <v>88</v>
      </c>
      <c r="T14" s="41">
        <f>P15/(P15+Q15)</f>
        <v>0.5</v>
      </c>
      <c r="U14" s="41">
        <f>1-T14</f>
        <v>0.5</v>
      </c>
      <c r="V14" s="41">
        <f>Q16/(Q16+P16)</f>
        <v>0.13333333333333333</v>
      </c>
      <c r="W14" s="41">
        <f>1-V14</f>
        <v>0.8666666666666667</v>
      </c>
    </row>
    <row r="15" spans="1:23" x14ac:dyDescent="0.3">
      <c r="H15">
        <v>1</v>
      </c>
      <c r="I15">
        <v>1</v>
      </c>
      <c r="J15">
        <v>1</v>
      </c>
      <c r="K15">
        <v>2</v>
      </c>
      <c r="L15">
        <v>1</v>
      </c>
      <c r="N15" s="53"/>
      <c r="O15" s="5" t="s">
        <v>87</v>
      </c>
      <c r="P15" s="7">
        <v>12</v>
      </c>
      <c r="Q15" s="7">
        <v>12</v>
      </c>
      <c r="R15" s="7">
        <f>P15+Q15</f>
        <v>24</v>
      </c>
    </row>
    <row r="16" spans="1:23" x14ac:dyDescent="0.3">
      <c r="H16">
        <v>1</v>
      </c>
      <c r="I16">
        <v>2</v>
      </c>
      <c r="J16">
        <v>2</v>
      </c>
      <c r="K16">
        <v>1</v>
      </c>
      <c r="L16">
        <v>2</v>
      </c>
      <c r="N16" s="53"/>
      <c r="O16" s="5" t="s">
        <v>41</v>
      </c>
      <c r="P16" s="7">
        <v>13</v>
      </c>
      <c r="Q16" s="7">
        <v>2</v>
      </c>
      <c r="R16" s="7">
        <f>P16+Q16</f>
        <v>15</v>
      </c>
    </row>
    <row r="17" spans="1:23" x14ac:dyDescent="0.3">
      <c r="H17">
        <v>2</v>
      </c>
      <c r="I17">
        <v>2</v>
      </c>
      <c r="J17">
        <v>1</v>
      </c>
      <c r="K17">
        <v>2</v>
      </c>
      <c r="L17">
        <v>1</v>
      </c>
      <c r="N17" s="5" t="s">
        <v>88</v>
      </c>
      <c r="O17" s="5"/>
      <c r="P17" s="7">
        <f>P15+P16</f>
        <v>25</v>
      </c>
      <c r="Q17" s="7">
        <f>Q15+Q16</f>
        <v>14</v>
      </c>
      <c r="R17" s="7">
        <f>R15+R16</f>
        <v>39</v>
      </c>
    </row>
    <row r="18" spans="1:23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1</v>
      </c>
      <c r="I18">
        <v>1</v>
      </c>
      <c r="J18">
        <v>1</v>
      </c>
      <c r="K18">
        <v>2</v>
      </c>
      <c r="L18">
        <v>2</v>
      </c>
    </row>
    <row r="19" spans="1:23" x14ac:dyDescent="0.3">
      <c r="A19" s="54"/>
      <c r="B19" s="54"/>
      <c r="C19" s="69"/>
      <c r="D19" s="54"/>
      <c r="E19" s="54"/>
      <c r="F19" s="54"/>
      <c r="H19">
        <v>2</v>
      </c>
      <c r="I19">
        <v>2</v>
      </c>
      <c r="J19">
        <v>1</v>
      </c>
      <c r="K19">
        <v>1</v>
      </c>
      <c r="L19">
        <v>1</v>
      </c>
      <c r="N19" s="5" t="s">
        <v>117</v>
      </c>
      <c r="O19" s="53" t="s">
        <v>90</v>
      </c>
      <c r="P19" s="53"/>
      <c r="Q19" s="53"/>
      <c r="R19" s="5"/>
      <c r="T19" s="9" t="s">
        <v>83</v>
      </c>
      <c r="U19" s="9" t="s">
        <v>84</v>
      </c>
      <c r="V19" s="9" t="s">
        <v>85</v>
      </c>
      <c r="W19" s="9" t="s">
        <v>86</v>
      </c>
    </row>
    <row r="20" spans="1:23" x14ac:dyDescent="0.3">
      <c r="A20" s="54"/>
      <c r="B20" s="54"/>
      <c r="C20" s="69"/>
      <c r="D20" s="54"/>
      <c r="E20" s="54"/>
      <c r="F20" s="54"/>
      <c r="H20">
        <v>2</v>
      </c>
      <c r="I20">
        <v>2</v>
      </c>
      <c r="J20">
        <v>1</v>
      </c>
      <c r="K20">
        <v>2</v>
      </c>
      <c r="L20">
        <v>2</v>
      </c>
      <c r="N20" s="53" t="s">
        <v>89</v>
      </c>
      <c r="O20" s="5"/>
      <c r="P20" s="5" t="s">
        <v>87</v>
      </c>
      <c r="Q20" s="5" t="s">
        <v>41</v>
      </c>
      <c r="R20" s="5" t="s">
        <v>88</v>
      </c>
      <c r="T20" s="41">
        <f>P21/(P21+Q21)</f>
        <v>0.23529411764705882</v>
      </c>
      <c r="U20" s="41">
        <f>1-T20</f>
        <v>0.76470588235294112</v>
      </c>
      <c r="V20" s="40">
        <f>Q22/(Q22+P22)</f>
        <v>0.5</v>
      </c>
      <c r="W20" s="40">
        <f>1-V20</f>
        <v>0.5</v>
      </c>
    </row>
    <row r="21" spans="1:23" x14ac:dyDescent="0.3">
      <c r="A21" s="54"/>
      <c r="B21" s="54"/>
      <c r="C21" s="70"/>
      <c r="D21" s="54"/>
      <c r="E21" s="54"/>
      <c r="F21" s="54"/>
      <c r="H21">
        <v>1</v>
      </c>
      <c r="I21">
        <v>1</v>
      </c>
      <c r="J21">
        <v>2</v>
      </c>
      <c r="K21">
        <v>2</v>
      </c>
      <c r="L21">
        <v>1</v>
      </c>
      <c r="N21" s="53"/>
      <c r="O21" s="5" t="s">
        <v>87</v>
      </c>
      <c r="P21" s="7">
        <v>4</v>
      </c>
      <c r="Q21" s="7">
        <v>13</v>
      </c>
      <c r="R21" s="7">
        <f>P21+Q21</f>
        <v>17</v>
      </c>
    </row>
    <row r="22" spans="1:23" x14ac:dyDescent="0.3">
      <c r="A22" s="37">
        <v>1</v>
      </c>
      <c r="B22" s="37">
        <v>89</v>
      </c>
      <c r="C22" s="40">
        <f>($C$4*$D$11*$A$11^0)+($D$3*$B$11*$C$11^0)</f>
        <v>85.019417475728162</v>
      </c>
      <c r="D22" s="37">
        <v>90.423000000000002</v>
      </c>
      <c r="E22" s="5" t="s">
        <v>125</v>
      </c>
      <c r="F22" s="5" t="s">
        <v>125</v>
      </c>
      <c r="H22">
        <v>1</v>
      </c>
      <c r="I22">
        <v>2</v>
      </c>
      <c r="J22">
        <v>1</v>
      </c>
      <c r="K22">
        <v>2</v>
      </c>
      <c r="L22">
        <v>1</v>
      </c>
      <c r="N22" s="53"/>
      <c r="O22" s="5" t="s">
        <v>41</v>
      </c>
      <c r="P22" s="7">
        <v>12</v>
      </c>
      <c r="Q22" s="7">
        <v>12</v>
      </c>
      <c r="R22" s="7">
        <f>P22+Q22</f>
        <v>24</v>
      </c>
    </row>
    <row r="23" spans="1:23" x14ac:dyDescent="0.3">
      <c r="A23" s="37">
        <v>2</v>
      </c>
      <c r="B23" s="37">
        <v>28</v>
      </c>
      <c r="C23" s="40">
        <f>($C$4*$D$11*$A$11^1)+($D$3*$B$11*$C$11^1)</f>
        <v>29.906148867313917</v>
      </c>
      <c r="D23" s="37">
        <v>27.798999999999999</v>
      </c>
      <c r="E23" s="5" t="s">
        <v>125</v>
      </c>
      <c r="F23" s="5" t="s">
        <v>125</v>
      </c>
      <c r="H23">
        <v>1</v>
      </c>
      <c r="I23">
        <v>1</v>
      </c>
      <c r="J23">
        <v>2</v>
      </c>
      <c r="K23">
        <v>2</v>
      </c>
      <c r="L23">
        <v>2</v>
      </c>
      <c r="N23" s="5" t="s">
        <v>88</v>
      </c>
      <c r="O23" s="5"/>
      <c r="P23" s="7">
        <f>P21+P22</f>
        <v>16</v>
      </c>
      <c r="Q23" s="7">
        <f>Q21+Q22</f>
        <v>25</v>
      </c>
      <c r="R23" s="7">
        <f>R21+R22</f>
        <v>41</v>
      </c>
    </row>
    <row r="24" spans="1:23" x14ac:dyDescent="0.3">
      <c r="A24" s="37">
        <v>3</v>
      </c>
      <c r="B24" s="37">
        <v>7</v>
      </c>
      <c r="C24" s="40">
        <f>($C$4*$D$11*$A$11^2)+($D$3*$B$11*$C$11^2)</f>
        <v>10.546590421130905</v>
      </c>
      <c r="D24" s="37">
        <v>9.9</v>
      </c>
      <c r="E24" s="37">
        <v>3</v>
      </c>
      <c r="F24" s="5">
        <v>4</v>
      </c>
      <c r="H24">
        <v>2</v>
      </c>
      <c r="I24">
        <v>2</v>
      </c>
      <c r="J24">
        <v>2</v>
      </c>
      <c r="K24">
        <v>1</v>
      </c>
      <c r="L24">
        <v>1</v>
      </c>
    </row>
    <row r="25" spans="1:23" x14ac:dyDescent="0.3">
      <c r="A25" s="37">
        <v>4</v>
      </c>
      <c r="B25" s="37">
        <v>6</v>
      </c>
      <c r="C25" s="40">
        <f>($C$4*$D$11*$A$11^3)+($D$3*$B$11*$C$11^3)</f>
        <v>3.7287264220953968</v>
      </c>
      <c r="D25" s="37">
        <v>3.5790000000000002</v>
      </c>
      <c r="E25" s="5">
        <v>3</v>
      </c>
      <c r="F25" s="5">
        <v>3</v>
      </c>
      <c r="H25">
        <v>1</v>
      </c>
      <c r="I25">
        <v>1</v>
      </c>
      <c r="J25">
        <v>1</v>
      </c>
      <c r="K25">
        <v>2</v>
      </c>
      <c r="L25">
        <v>2</v>
      </c>
      <c r="N25" s="5" t="s">
        <v>118</v>
      </c>
      <c r="O25" s="53" t="s">
        <v>90</v>
      </c>
      <c r="P25" s="53"/>
      <c r="Q25" s="53"/>
      <c r="R25" s="5"/>
      <c r="T25" s="9" t="s">
        <v>83</v>
      </c>
      <c r="U25" s="9" t="s">
        <v>84</v>
      </c>
      <c r="V25" s="9" t="s">
        <v>85</v>
      </c>
      <c r="W25" s="9" t="s">
        <v>86</v>
      </c>
    </row>
    <row r="26" spans="1:23" x14ac:dyDescent="0.3">
      <c r="A26" s="37">
        <v>5</v>
      </c>
      <c r="B26" s="37">
        <v>0</v>
      </c>
      <c r="C26" s="40">
        <f>($C$4*$D$11*$A$11^4)+($D$3*$B$11*$C$11^4)</f>
        <v>1.3215637462515428</v>
      </c>
      <c r="D26" s="37">
        <v>1.361</v>
      </c>
      <c r="E26" s="5">
        <v>0</v>
      </c>
      <c r="F26" s="5">
        <v>0</v>
      </c>
      <c r="H26">
        <v>2</v>
      </c>
      <c r="I26">
        <v>1</v>
      </c>
      <c r="J26">
        <v>1</v>
      </c>
      <c r="K26">
        <v>1</v>
      </c>
      <c r="L26">
        <v>1</v>
      </c>
      <c r="N26" s="53" t="s">
        <v>89</v>
      </c>
      <c r="O26" s="5"/>
      <c r="P26" s="5" t="s">
        <v>87</v>
      </c>
      <c r="Q26" s="5" t="s">
        <v>41</v>
      </c>
      <c r="R26" s="5" t="s">
        <v>88</v>
      </c>
      <c r="T26" s="41">
        <f>P27/(P27+Q27)</f>
        <v>0.2857142857142857</v>
      </c>
      <c r="U26" s="41">
        <f>1-T26</f>
        <v>0.7142857142857143</v>
      </c>
      <c r="V26" s="40">
        <f>Q28/(Q28+P28)</f>
        <v>8.3333333333333329E-2</v>
      </c>
      <c r="W26" s="40">
        <f>1-V26</f>
        <v>0.91666666666666663</v>
      </c>
    </row>
    <row r="27" spans="1:23" x14ac:dyDescent="0.3">
      <c r="A27" s="37">
        <v>6</v>
      </c>
      <c r="B27" s="37">
        <v>2</v>
      </c>
      <c r="C27" s="40">
        <f>($C$4*$D$11*$A$11^5)+($D$3*$B$11*$C$11^5)</f>
        <v>0.46953957571831628</v>
      </c>
      <c r="D27" s="37">
        <v>0.48099999999999998</v>
      </c>
      <c r="E27" s="5">
        <v>2</v>
      </c>
      <c r="F27" s="5">
        <v>0</v>
      </c>
      <c r="H27">
        <v>1</v>
      </c>
      <c r="I27">
        <v>1</v>
      </c>
      <c r="J27">
        <v>1</v>
      </c>
      <c r="K27">
        <v>1</v>
      </c>
      <c r="L27">
        <v>1</v>
      </c>
      <c r="N27" s="53"/>
      <c r="O27" s="5" t="s">
        <v>87</v>
      </c>
      <c r="P27" s="7">
        <v>4</v>
      </c>
      <c r="Q27" s="7">
        <v>10</v>
      </c>
      <c r="R27" s="7">
        <f>P27+Q27</f>
        <v>14</v>
      </c>
    </row>
    <row r="28" spans="1:23" x14ac:dyDescent="0.3">
      <c r="A28" s="37">
        <v>7</v>
      </c>
      <c r="B28" s="37">
        <v>0</v>
      </c>
      <c r="C28" s="40">
        <f>($C$4*$D$11*$A$11^6)+($D$3*$B$11*$C$11^6)</f>
        <v>0.16721898243791583</v>
      </c>
      <c r="D28" s="37">
        <v>0.19</v>
      </c>
      <c r="E28" s="5">
        <v>0</v>
      </c>
      <c r="F28" s="5">
        <v>0</v>
      </c>
      <c r="H28">
        <v>1</v>
      </c>
      <c r="I28">
        <v>1</v>
      </c>
      <c r="J28">
        <v>1</v>
      </c>
      <c r="K28">
        <v>2</v>
      </c>
      <c r="N28" s="53"/>
      <c r="O28" s="5" t="s">
        <v>41</v>
      </c>
      <c r="P28" s="7">
        <v>11</v>
      </c>
      <c r="Q28" s="7">
        <v>1</v>
      </c>
      <c r="R28" s="7">
        <f>P28+Q28</f>
        <v>12</v>
      </c>
    </row>
    <row r="29" spans="1:23" x14ac:dyDescent="0.3">
      <c r="A29" s="37">
        <v>8</v>
      </c>
      <c r="B29" s="37">
        <v>0</v>
      </c>
      <c r="C29" s="40">
        <f>($C$4*$D$11*$A$11^7)+($D$3*$B$11*$C$11^7)</f>
        <v>5.9689369940879353E-2</v>
      </c>
      <c r="D29" s="37">
        <v>6.0999999999999999E-2</v>
      </c>
      <c r="E29" s="5">
        <v>0</v>
      </c>
      <c r="F29" s="5">
        <v>0</v>
      </c>
      <c r="H29">
        <v>2</v>
      </c>
      <c r="I29">
        <v>1</v>
      </c>
      <c r="J29">
        <v>2</v>
      </c>
      <c r="K29">
        <v>2</v>
      </c>
      <c r="N29" s="5" t="s">
        <v>88</v>
      </c>
      <c r="O29" s="5"/>
      <c r="P29" s="7">
        <f>P27+P28</f>
        <v>15</v>
      </c>
      <c r="Q29" s="7">
        <f>Q27+Q28</f>
        <v>11</v>
      </c>
      <c r="R29" s="7">
        <f>R27+R28</f>
        <v>26</v>
      </c>
    </row>
    <row r="30" spans="1:23" x14ac:dyDescent="0.3">
      <c r="A30" s="37" t="s">
        <v>103</v>
      </c>
      <c r="B30" s="37">
        <v>0</v>
      </c>
      <c r="C30" s="40">
        <f>($C$4*$D$11*$A$11^8)+($D$3*$B$11*$C$11^8)</f>
        <v>2.1353630888446658E-2</v>
      </c>
      <c r="D30" s="37">
        <v>4.8000000000000001E-2</v>
      </c>
      <c r="E30" s="5">
        <v>0</v>
      </c>
      <c r="F30" s="5">
        <v>0</v>
      </c>
      <c r="H30">
        <v>1</v>
      </c>
      <c r="I30">
        <v>1</v>
      </c>
      <c r="J30">
        <v>1</v>
      </c>
      <c r="K30">
        <v>1</v>
      </c>
    </row>
    <row r="31" spans="1:23" x14ac:dyDescent="0.3">
      <c r="H31">
        <v>2</v>
      </c>
      <c r="I31">
        <v>2</v>
      </c>
      <c r="J31">
        <v>2</v>
      </c>
      <c r="K31">
        <v>1</v>
      </c>
    </row>
    <row r="32" spans="1:23" ht="14.4" customHeight="1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1</v>
      </c>
      <c r="I32">
        <v>1</v>
      </c>
      <c r="J32">
        <v>1</v>
      </c>
      <c r="K32">
        <v>2</v>
      </c>
    </row>
    <row r="33" spans="1:11" x14ac:dyDescent="0.3">
      <c r="A33" s="53"/>
      <c r="B33" s="54"/>
      <c r="C33" s="54"/>
      <c r="D33" s="54"/>
      <c r="E33" s="54"/>
      <c r="F33" s="53"/>
      <c r="G33" s="53"/>
      <c r="H33">
        <v>2</v>
      </c>
      <c r="I33">
        <v>1</v>
      </c>
      <c r="J33">
        <v>2</v>
      </c>
      <c r="K33">
        <v>1</v>
      </c>
    </row>
    <row r="34" spans="1:11" x14ac:dyDescent="0.3">
      <c r="A34" s="5" t="s">
        <v>87</v>
      </c>
      <c r="B34" s="64">
        <f>E24+E25+E26+E27+E28+E29+E30</f>
        <v>8</v>
      </c>
      <c r="C34" s="65"/>
      <c r="D34" s="66">
        <f>E24*1+E25*2+E26*3+E27*4+E28*5+E29*6+E30*7</f>
        <v>17</v>
      </c>
      <c r="E34" s="67"/>
      <c r="F34" s="48">
        <f>B34/D34</f>
        <v>0.47058823529411764</v>
      </c>
      <c r="G34" s="49">
        <f>F34</f>
        <v>0.47058823529411764</v>
      </c>
      <c r="H34">
        <v>2</v>
      </c>
      <c r="I34">
        <v>2</v>
      </c>
      <c r="J34">
        <v>1</v>
      </c>
      <c r="K34">
        <v>1</v>
      </c>
    </row>
    <row r="35" spans="1:11" x14ac:dyDescent="0.3">
      <c r="A35" s="5" t="s">
        <v>41</v>
      </c>
      <c r="B35" s="64">
        <f>F24+F25+F26+F27+F28+F29+F30</f>
        <v>7</v>
      </c>
      <c r="C35" s="65"/>
      <c r="D35" s="66">
        <f>F24*1+F25*2+F26*3+F27*4+F28*5+F29*6+F30*7</f>
        <v>10</v>
      </c>
      <c r="E35" s="67"/>
      <c r="F35" s="48">
        <f>B35/D35</f>
        <v>0.7</v>
      </c>
      <c r="G35" s="49">
        <f>F35</f>
        <v>0.7</v>
      </c>
      <c r="H35">
        <v>1</v>
      </c>
      <c r="I35">
        <v>2</v>
      </c>
      <c r="J35">
        <v>2</v>
      </c>
      <c r="K35">
        <v>2</v>
      </c>
    </row>
    <row r="36" spans="1:11" x14ac:dyDescent="0.3">
      <c r="H36">
        <v>2</v>
      </c>
      <c r="I36">
        <v>1</v>
      </c>
      <c r="J36">
        <v>1</v>
      </c>
      <c r="K36">
        <v>1</v>
      </c>
    </row>
    <row r="37" spans="1:11" x14ac:dyDescent="0.3">
      <c r="H37">
        <v>1</v>
      </c>
      <c r="I37">
        <v>2</v>
      </c>
      <c r="J37">
        <v>2</v>
      </c>
      <c r="K37">
        <v>2</v>
      </c>
    </row>
    <row r="38" spans="1:11" x14ac:dyDescent="0.3">
      <c r="A38" s="76"/>
      <c r="B38" s="99" t="s">
        <v>130</v>
      </c>
      <c r="C38" s="100"/>
      <c r="D38" s="77" t="s">
        <v>90</v>
      </c>
      <c r="E38" s="77"/>
      <c r="F38" s="79" t="s">
        <v>88</v>
      </c>
      <c r="H38">
        <v>2</v>
      </c>
      <c r="I38">
        <v>2</v>
      </c>
      <c r="J38">
        <v>1</v>
      </c>
      <c r="K38">
        <v>2</v>
      </c>
    </row>
    <row r="39" spans="1:11" x14ac:dyDescent="0.3">
      <c r="A39" s="80" t="s">
        <v>87</v>
      </c>
      <c r="B39" s="83">
        <v>8</v>
      </c>
      <c r="C39" s="83"/>
      <c r="D39" s="92">
        <v>38</v>
      </c>
      <c r="E39" s="92"/>
      <c r="F39" s="95">
        <f>SUM(B39+D39)</f>
        <v>46</v>
      </c>
      <c r="H39">
        <v>2</v>
      </c>
      <c r="I39">
        <v>2</v>
      </c>
      <c r="J39">
        <v>1</v>
      </c>
      <c r="K39">
        <v>2</v>
      </c>
    </row>
    <row r="40" spans="1:11" x14ac:dyDescent="0.3">
      <c r="A40" s="80" t="s">
        <v>41</v>
      </c>
      <c r="B40" s="83">
        <v>7</v>
      </c>
      <c r="C40" s="83"/>
      <c r="D40" s="92">
        <v>33</v>
      </c>
      <c r="E40" s="92"/>
      <c r="F40" s="95">
        <f>SUM(B40+D40)</f>
        <v>40</v>
      </c>
      <c r="H40">
        <v>2</v>
      </c>
      <c r="I40">
        <v>1</v>
      </c>
      <c r="J40">
        <v>1</v>
      </c>
      <c r="K40">
        <v>2</v>
      </c>
    </row>
    <row r="41" spans="1:11" x14ac:dyDescent="0.3">
      <c r="A41" s="85"/>
      <c r="B41" s="86">
        <f>SUM(B39:B40)</f>
        <v>15</v>
      </c>
      <c r="C41" s="86"/>
      <c r="D41" s="87">
        <f>SUM(D39:D40)</f>
        <v>71</v>
      </c>
      <c r="E41" s="87"/>
      <c r="F41" s="95">
        <f>SUM(F39:F40)</f>
        <v>86</v>
      </c>
      <c r="H41">
        <v>1</v>
      </c>
      <c r="I41">
        <v>2</v>
      </c>
      <c r="K41">
        <v>1</v>
      </c>
    </row>
    <row r="42" spans="1:11" x14ac:dyDescent="0.3">
      <c r="A42" s="96"/>
      <c r="B42" s="84" t="s">
        <v>134</v>
      </c>
      <c r="C42" s="84"/>
      <c r="D42" s="84" t="s">
        <v>132</v>
      </c>
      <c r="E42" s="84"/>
      <c r="F42" s="75"/>
      <c r="H42">
        <v>2</v>
      </c>
      <c r="I42">
        <v>2</v>
      </c>
      <c r="K42">
        <v>2</v>
      </c>
    </row>
    <row r="43" spans="1:11" x14ac:dyDescent="0.3">
      <c r="A43" s="95" t="s">
        <v>87</v>
      </c>
      <c r="B43" s="81">
        <f>B41*F39/F41</f>
        <v>8.0232558139534884</v>
      </c>
      <c r="C43" s="81"/>
      <c r="D43" s="81">
        <f>D41*F39/F41</f>
        <v>37.97674418604651</v>
      </c>
      <c r="E43" s="81"/>
      <c r="F43" s="75"/>
      <c r="H43">
        <v>1</v>
      </c>
      <c r="I43">
        <v>2</v>
      </c>
    </row>
    <row r="44" spans="1:11" x14ac:dyDescent="0.3">
      <c r="A44" s="95" t="s">
        <v>41</v>
      </c>
      <c r="B44" s="81">
        <f>B41*F40/F41</f>
        <v>6.9767441860465116</v>
      </c>
      <c r="C44" s="81"/>
      <c r="D44" s="81">
        <f>D41*F40/F41</f>
        <v>33.02325581395349</v>
      </c>
      <c r="E44" s="81"/>
      <c r="F44" s="75"/>
      <c r="H44">
        <v>2</v>
      </c>
      <c r="I44">
        <v>1</v>
      </c>
    </row>
    <row r="45" spans="1:11" x14ac:dyDescent="0.3">
      <c r="A45" s="97"/>
      <c r="B45" s="97"/>
      <c r="C45" s="97"/>
      <c r="D45" s="97"/>
      <c r="E45" s="97"/>
      <c r="F45" s="75"/>
      <c r="H45">
        <v>2</v>
      </c>
      <c r="I45">
        <v>1</v>
      </c>
    </row>
    <row r="46" spans="1:11" x14ac:dyDescent="0.3">
      <c r="A46" s="97" t="s">
        <v>135</v>
      </c>
      <c r="B46" s="98">
        <f>CHITEST(B39:E40,B43:E44)</f>
        <v>0.99999938143911615</v>
      </c>
      <c r="C46" s="97"/>
      <c r="D46" s="97"/>
      <c r="E46" s="97"/>
      <c r="F46" s="75"/>
      <c r="H46">
        <v>1</v>
      </c>
      <c r="I46">
        <v>1</v>
      </c>
    </row>
    <row r="47" spans="1:11" x14ac:dyDescent="0.3">
      <c r="H47">
        <v>2</v>
      </c>
      <c r="I47">
        <v>2</v>
      </c>
    </row>
    <row r="48" spans="1:11" x14ac:dyDescent="0.3">
      <c r="H48">
        <v>2</v>
      </c>
      <c r="I48">
        <v>1</v>
      </c>
    </row>
    <row r="49" spans="1:9" x14ac:dyDescent="0.3">
      <c r="H49">
        <v>1</v>
      </c>
      <c r="I49">
        <v>2</v>
      </c>
    </row>
    <row r="50" spans="1:9" x14ac:dyDescent="0.3">
      <c r="A50" s="71"/>
      <c r="B50" s="72"/>
      <c r="C50" s="72"/>
      <c r="D50" s="91"/>
      <c r="E50" s="91"/>
      <c r="F50" s="75"/>
    </row>
    <row r="51" spans="1:9" x14ac:dyDescent="0.3">
      <c r="A51" s="72"/>
      <c r="B51" s="72"/>
      <c r="C51" s="72"/>
      <c r="D51" s="91"/>
      <c r="E51" s="91"/>
      <c r="F51" s="75"/>
    </row>
    <row r="52" spans="1:9" x14ac:dyDescent="0.3">
      <c r="A52" s="72"/>
      <c r="B52" s="93"/>
      <c r="C52" s="93"/>
      <c r="D52" s="94"/>
      <c r="E52" s="94"/>
      <c r="F52" s="73"/>
    </row>
    <row r="53" spans="1:9" x14ac:dyDescent="0.3">
      <c r="A53" s="72"/>
      <c r="B53" s="93"/>
      <c r="C53" s="93"/>
      <c r="D53" s="94"/>
      <c r="E53" s="94"/>
      <c r="F53" s="73"/>
    </row>
    <row r="54" spans="1:9" x14ac:dyDescent="0.3">
      <c r="A54" s="71"/>
      <c r="B54" s="71"/>
      <c r="C54" s="74"/>
      <c r="D54" s="74"/>
      <c r="E54" s="74"/>
      <c r="F54" s="73"/>
    </row>
    <row r="55" spans="1:9" x14ac:dyDescent="0.3">
      <c r="A55" s="73"/>
      <c r="B55" s="73"/>
      <c r="C55" s="73"/>
      <c r="D55" s="73"/>
      <c r="E55" s="73"/>
      <c r="F55" s="73"/>
    </row>
    <row r="56" spans="1:9" x14ac:dyDescent="0.3">
      <c r="A56" s="73"/>
      <c r="B56" s="90"/>
      <c r="C56" s="90"/>
      <c r="D56" s="90"/>
      <c r="E56" s="90"/>
      <c r="F56" s="73"/>
    </row>
    <row r="57" spans="1:9" x14ac:dyDescent="0.3">
      <c r="A57" s="73"/>
      <c r="B57" s="90"/>
      <c r="C57" s="90"/>
      <c r="D57" s="90"/>
      <c r="E57" s="90"/>
      <c r="F57" s="73"/>
    </row>
    <row r="58" spans="1:9" x14ac:dyDescent="0.3">
      <c r="A58" s="73"/>
      <c r="B58" s="73"/>
      <c r="C58" s="73"/>
      <c r="D58" s="73"/>
      <c r="E58" s="73"/>
      <c r="F58" s="73"/>
    </row>
    <row r="59" spans="1:9" x14ac:dyDescent="0.3">
      <c r="A59" s="73"/>
      <c r="B59" s="73"/>
      <c r="C59" s="73"/>
      <c r="D59" s="73"/>
      <c r="E59" s="73"/>
      <c r="F59" s="73"/>
    </row>
    <row r="60" spans="1:9" x14ac:dyDescent="0.3">
      <c r="A60" s="73"/>
      <c r="B60" s="73"/>
      <c r="C60" s="73"/>
      <c r="D60" s="73"/>
      <c r="E60" s="73"/>
      <c r="F60" s="73"/>
    </row>
  </sheetData>
  <mergeCells count="42">
    <mergeCell ref="B44:C44"/>
    <mergeCell ref="D44:E44"/>
    <mergeCell ref="B41:C41"/>
    <mergeCell ref="D41:E41"/>
    <mergeCell ref="B42:C42"/>
    <mergeCell ref="D42:E42"/>
    <mergeCell ref="B43:C43"/>
    <mergeCell ref="D43:E43"/>
    <mergeCell ref="B38:C38"/>
    <mergeCell ref="D38:E38"/>
    <mergeCell ref="B39:C39"/>
    <mergeCell ref="D39:E39"/>
    <mergeCell ref="B40:C40"/>
    <mergeCell ref="D40:E40"/>
    <mergeCell ref="B1:D1"/>
    <mergeCell ref="A2:A4"/>
    <mergeCell ref="E10:F12"/>
    <mergeCell ref="A18:A21"/>
    <mergeCell ref="B18:B21"/>
    <mergeCell ref="C18:C21"/>
    <mergeCell ref="D18:D21"/>
    <mergeCell ref="E18:E21"/>
    <mergeCell ref="F18:F21"/>
    <mergeCell ref="O1:Q1"/>
    <mergeCell ref="N2:N4"/>
    <mergeCell ref="O7:Q7"/>
    <mergeCell ref="N8:N10"/>
    <mergeCell ref="O13:Q13"/>
    <mergeCell ref="N14:N16"/>
    <mergeCell ref="O19:Q19"/>
    <mergeCell ref="N20:N22"/>
    <mergeCell ref="O25:Q25"/>
    <mergeCell ref="N26:N28"/>
    <mergeCell ref="F32:F33"/>
    <mergeCell ref="G32:G33"/>
    <mergeCell ref="B34:C34"/>
    <mergeCell ref="D34:E34"/>
    <mergeCell ref="B35:C35"/>
    <mergeCell ref="D35:E35"/>
    <mergeCell ref="A32:A33"/>
    <mergeCell ref="B32:C33"/>
    <mergeCell ref="D32:E33"/>
  </mergeCells>
  <conditionalFormatting sqref="A55:E55 A56:B57 D56:D57 A58:E59">
    <cfRule type="cellIs" dxfId="162" priority="5" operator="equal">
      <formula>1</formula>
    </cfRule>
    <cfRule type="cellIs" dxfId="161" priority="6" operator="equal">
      <formula>2</formula>
    </cfRule>
    <cfRule type="cellIs" dxfId="160" priority="7" operator="equal">
      <formula>1</formula>
    </cfRule>
    <cfRule type="cellIs" dxfId="159" priority="8" operator="equal">
      <formula>2</formula>
    </cfRule>
  </conditionalFormatting>
  <conditionalFormatting sqref="H1:L49">
    <cfRule type="cellIs" dxfId="158" priority="9" operator="equal">
      <formula>1</formula>
    </cfRule>
    <cfRule type="cellIs" dxfId="157" priority="10" operator="equal">
      <formula>2</formula>
    </cfRule>
  </conditionalFormatting>
  <conditionalFormatting sqref="A43:B44 A45:E46 D42:D44 B42">
    <cfRule type="cellIs" dxfId="83" priority="1" operator="equal">
      <formula>1</formula>
    </cfRule>
    <cfRule type="cellIs" dxfId="82" priority="2" operator="equal">
      <formula>2</formula>
    </cfRule>
    <cfRule type="cellIs" dxfId="81" priority="3" operator="equal">
      <formula>1</formula>
    </cfRule>
    <cfRule type="cellIs" dxfId="80" priority="4" operator="equal">
      <formula>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AF3DB-FAEB-4E75-A7CE-0AB2A44391BE}">
  <dimension ref="A1:W59"/>
  <sheetViews>
    <sheetView topLeftCell="A29" workbookViewId="0">
      <selection activeCell="D41" sqref="D41:E41"/>
    </sheetView>
  </sheetViews>
  <sheetFormatPr defaultRowHeight="14.4" x14ac:dyDescent="0.3"/>
  <cols>
    <col min="3" max="3" width="9.77734375" customWidth="1"/>
  </cols>
  <sheetData>
    <row r="1" spans="1:23" x14ac:dyDescent="0.3">
      <c r="A1" s="5"/>
      <c r="B1" s="53" t="s">
        <v>90</v>
      </c>
      <c r="C1" s="53"/>
      <c r="D1" s="53"/>
      <c r="E1" s="5"/>
    </row>
    <row r="2" spans="1:23" ht="28.8" x14ac:dyDescent="0.3">
      <c r="A2" s="53" t="s">
        <v>89</v>
      </c>
      <c r="B2" s="5"/>
      <c r="C2" s="5" t="s">
        <v>87</v>
      </c>
      <c r="D2" s="37" t="s">
        <v>48</v>
      </c>
      <c r="E2" s="5" t="s">
        <v>88</v>
      </c>
    </row>
    <row r="3" spans="1:23" x14ac:dyDescent="0.3">
      <c r="A3" s="53"/>
      <c r="B3" s="5" t="s">
        <v>87</v>
      </c>
      <c r="C3" s="7">
        <v>40</v>
      </c>
      <c r="D3" s="7">
        <v>56</v>
      </c>
      <c r="E3" s="7">
        <f>C3+D3</f>
        <v>96</v>
      </c>
    </row>
    <row r="4" spans="1:23" ht="28.8" x14ac:dyDescent="0.3">
      <c r="A4" s="53"/>
      <c r="B4" s="37" t="s">
        <v>48</v>
      </c>
      <c r="C4" s="7">
        <v>57</v>
      </c>
      <c r="D4" s="7">
        <v>26</v>
      </c>
      <c r="E4" s="7">
        <f>C4+D4</f>
        <v>83</v>
      </c>
    </row>
    <row r="5" spans="1:23" x14ac:dyDescent="0.3">
      <c r="A5" s="5" t="s">
        <v>88</v>
      </c>
      <c r="B5" s="5"/>
      <c r="C5" s="7">
        <f>C3+C4</f>
        <v>97</v>
      </c>
      <c r="D5" s="7">
        <f>D3+D4</f>
        <v>82</v>
      </c>
      <c r="E5" s="7">
        <f>E3+E4</f>
        <v>179</v>
      </c>
      <c r="H5">
        <v>2</v>
      </c>
      <c r="I5">
        <v>1</v>
      </c>
      <c r="J5">
        <v>2</v>
      </c>
      <c r="K5">
        <v>1</v>
      </c>
      <c r="N5" s="5" t="s">
        <v>113</v>
      </c>
      <c r="O5" s="53" t="s">
        <v>90</v>
      </c>
      <c r="P5" s="53"/>
      <c r="Q5" s="53"/>
      <c r="R5" s="5"/>
      <c r="T5" s="9" t="s">
        <v>83</v>
      </c>
      <c r="U5" s="9" t="s">
        <v>84</v>
      </c>
      <c r="V5" s="9" t="s">
        <v>85</v>
      </c>
      <c r="W5" s="9" t="s">
        <v>86</v>
      </c>
    </row>
    <row r="6" spans="1:23" x14ac:dyDescent="0.3">
      <c r="H6">
        <v>2</v>
      </c>
      <c r="I6">
        <v>1</v>
      </c>
      <c r="J6">
        <v>2</v>
      </c>
      <c r="K6">
        <v>2</v>
      </c>
      <c r="N6" s="53" t="s">
        <v>89</v>
      </c>
      <c r="O6" s="5"/>
      <c r="P6" s="5" t="s">
        <v>87</v>
      </c>
      <c r="Q6" s="37" t="s">
        <v>120</v>
      </c>
      <c r="R6" s="5" t="s">
        <v>88</v>
      </c>
      <c r="T6" s="41">
        <f>P7/(P7+Q7)</f>
        <v>0.27272727272727271</v>
      </c>
      <c r="U6" s="41">
        <f>1-T6</f>
        <v>0.72727272727272729</v>
      </c>
      <c r="V6" s="41">
        <f>Q8/(Q8+P8)</f>
        <v>0.36</v>
      </c>
      <c r="W6" s="41">
        <f>1-V6</f>
        <v>0.64</v>
      </c>
    </row>
    <row r="7" spans="1:23" x14ac:dyDescent="0.3">
      <c r="A7" s="4" t="s">
        <v>83</v>
      </c>
      <c r="B7" s="4" t="s">
        <v>84</v>
      </c>
      <c r="C7" s="4" t="s">
        <v>85</v>
      </c>
      <c r="D7" s="4" t="s">
        <v>86</v>
      </c>
      <c r="H7">
        <v>2</v>
      </c>
      <c r="I7">
        <v>2</v>
      </c>
      <c r="J7">
        <v>1</v>
      </c>
      <c r="K7">
        <v>1</v>
      </c>
      <c r="N7" s="53"/>
      <c r="O7" s="5" t="s">
        <v>87</v>
      </c>
      <c r="P7" s="7">
        <v>6</v>
      </c>
      <c r="Q7" s="7">
        <v>16</v>
      </c>
      <c r="R7" s="7">
        <f>P7+Q7</f>
        <v>22</v>
      </c>
      <c r="T7" t="s">
        <v>116</v>
      </c>
    </row>
    <row r="8" spans="1:23" x14ac:dyDescent="0.3">
      <c r="A8" s="8">
        <f>C3/C5</f>
        <v>0.41237113402061853</v>
      </c>
      <c r="B8" s="8">
        <f>1-A8</f>
        <v>0.58762886597938147</v>
      </c>
      <c r="C8" s="8">
        <f>D4/E4</f>
        <v>0.31325301204819278</v>
      </c>
      <c r="D8" s="8">
        <f>1-C8</f>
        <v>0.68674698795180722</v>
      </c>
      <c r="H8">
        <v>1</v>
      </c>
      <c r="I8">
        <v>1</v>
      </c>
      <c r="J8">
        <v>2</v>
      </c>
      <c r="K8">
        <v>1</v>
      </c>
      <c r="N8" s="53"/>
      <c r="O8" s="37" t="s">
        <v>120</v>
      </c>
      <c r="P8" s="7">
        <v>16</v>
      </c>
      <c r="Q8" s="7">
        <v>9</v>
      </c>
      <c r="R8" s="7">
        <f>P8+Q8</f>
        <v>25</v>
      </c>
    </row>
    <row r="9" spans="1:23" x14ac:dyDescent="0.3">
      <c r="H9">
        <v>2</v>
      </c>
      <c r="I9">
        <v>2</v>
      </c>
      <c r="J9">
        <v>2</v>
      </c>
      <c r="K9">
        <v>1</v>
      </c>
      <c r="N9" s="5" t="s">
        <v>88</v>
      </c>
      <c r="O9" s="5"/>
      <c r="P9" s="7">
        <f>P7+P8</f>
        <v>22</v>
      </c>
      <c r="Q9" s="7">
        <f>Q7+Q8</f>
        <v>25</v>
      </c>
      <c r="R9" s="7">
        <f>R7+R8</f>
        <v>47</v>
      </c>
    </row>
    <row r="10" spans="1:23" x14ac:dyDescent="0.3">
      <c r="A10" s="42" t="s">
        <v>83</v>
      </c>
      <c r="B10" s="42" t="s">
        <v>84</v>
      </c>
      <c r="C10" s="42" t="s">
        <v>85</v>
      </c>
      <c r="D10" s="42" t="s">
        <v>86</v>
      </c>
      <c r="E10" s="59" t="s">
        <v>107</v>
      </c>
      <c r="F10" s="59"/>
      <c r="H10">
        <v>2</v>
      </c>
      <c r="I10">
        <v>1</v>
      </c>
      <c r="J10">
        <v>1</v>
      </c>
      <c r="K10">
        <v>1</v>
      </c>
    </row>
    <row r="11" spans="1:23" x14ac:dyDescent="0.3">
      <c r="A11" s="43">
        <f>C3/E3</f>
        <v>0.41666666666666669</v>
      </c>
      <c r="B11" s="43">
        <f>1-A11</f>
        <v>0.58333333333333326</v>
      </c>
      <c r="C11" s="43">
        <f>D4/E4</f>
        <v>0.31325301204819278</v>
      </c>
      <c r="D11" s="43">
        <f>1-C11</f>
        <v>0.68674698795180722</v>
      </c>
      <c r="E11" s="59"/>
      <c r="F11" s="59"/>
      <c r="H11">
        <v>1</v>
      </c>
      <c r="I11">
        <v>1</v>
      </c>
      <c r="J11">
        <v>2</v>
      </c>
      <c r="K11">
        <v>1</v>
      </c>
      <c r="N11" s="5" t="s">
        <v>114</v>
      </c>
      <c r="O11" s="53" t="s">
        <v>90</v>
      </c>
      <c r="P11" s="53"/>
      <c r="Q11" s="53"/>
      <c r="R11" s="5"/>
      <c r="T11" s="9" t="s">
        <v>83</v>
      </c>
      <c r="U11" s="9" t="s">
        <v>84</v>
      </c>
      <c r="V11" s="9" t="s">
        <v>85</v>
      </c>
      <c r="W11" s="9" t="s">
        <v>86</v>
      </c>
    </row>
    <row r="12" spans="1:23" x14ac:dyDescent="0.3">
      <c r="E12" s="59"/>
      <c r="F12" s="59"/>
      <c r="H12">
        <v>2</v>
      </c>
      <c r="I12">
        <v>1</v>
      </c>
      <c r="J12">
        <v>2</v>
      </c>
      <c r="K12">
        <v>2</v>
      </c>
      <c r="N12" s="53" t="s">
        <v>89</v>
      </c>
      <c r="O12" s="5"/>
      <c r="P12" s="5" t="s">
        <v>87</v>
      </c>
      <c r="Q12" s="37" t="s">
        <v>120</v>
      </c>
      <c r="R12" s="5" t="s">
        <v>88</v>
      </c>
      <c r="T12" s="41">
        <f>P13/(P13+Q13)</f>
        <v>0.44</v>
      </c>
      <c r="U12" s="41">
        <f>1-T12</f>
        <v>0.56000000000000005</v>
      </c>
      <c r="V12" s="41">
        <f>Q14/(Q14+P14)</f>
        <v>0.22222222222222221</v>
      </c>
      <c r="W12" s="41">
        <f>1-V12</f>
        <v>0.77777777777777779</v>
      </c>
    </row>
    <row r="13" spans="1:23" x14ac:dyDescent="0.3">
      <c r="H13">
        <v>1</v>
      </c>
      <c r="I13">
        <v>1</v>
      </c>
      <c r="J13">
        <v>1</v>
      </c>
      <c r="K13">
        <v>1</v>
      </c>
      <c r="N13" s="53"/>
      <c r="O13" s="5" t="s">
        <v>87</v>
      </c>
      <c r="P13" s="7">
        <v>11</v>
      </c>
      <c r="Q13" s="7">
        <v>14</v>
      </c>
      <c r="R13" s="7">
        <f>P13+Q13</f>
        <v>25</v>
      </c>
    </row>
    <row r="14" spans="1:23" x14ac:dyDescent="0.3">
      <c r="H14">
        <v>2</v>
      </c>
      <c r="I14">
        <v>1</v>
      </c>
      <c r="J14">
        <v>2</v>
      </c>
      <c r="K14">
        <v>2</v>
      </c>
      <c r="N14" s="53"/>
      <c r="O14" s="37" t="s">
        <v>120</v>
      </c>
      <c r="P14" s="7">
        <v>14</v>
      </c>
      <c r="Q14" s="7">
        <v>4</v>
      </c>
      <c r="R14" s="7">
        <f>P14+Q14</f>
        <v>18</v>
      </c>
    </row>
    <row r="15" spans="1:23" x14ac:dyDescent="0.3">
      <c r="H15">
        <v>1</v>
      </c>
      <c r="I15">
        <v>1</v>
      </c>
      <c r="J15">
        <v>1</v>
      </c>
      <c r="K15">
        <v>1</v>
      </c>
      <c r="N15" s="5" t="s">
        <v>88</v>
      </c>
      <c r="O15" s="5"/>
      <c r="P15" s="7">
        <f>P13+P14</f>
        <v>25</v>
      </c>
      <c r="Q15" s="7">
        <f>Q13+Q14</f>
        <v>18</v>
      </c>
      <c r="R15" s="7">
        <f>R13+R14</f>
        <v>43</v>
      </c>
    </row>
    <row r="16" spans="1:23" x14ac:dyDescent="0.3">
      <c r="H16">
        <v>2</v>
      </c>
      <c r="I16">
        <v>1</v>
      </c>
      <c r="J16">
        <v>2</v>
      </c>
      <c r="K16">
        <v>2</v>
      </c>
    </row>
    <row r="17" spans="1:23" x14ac:dyDescent="0.3">
      <c r="H17">
        <v>1</v>
      </c>
      <c r="I17">
        <v>1</v>
      </c>
      <c r="J17">
        <v>1</v>
      </c>
      <c r="K17">
        <v>2</v>
      </c>
      <c r="N17" s="5" t="s">
        <v>115</v>
      </c>
      <c r="O17" s="53" t="s">
        <v>90</v>
      </c>
      <c r="P17" s="53"/>
      <c r="Q17" s="53"/>
      <c r="R17" s="5"/>
      <c r="T17" s="9" t="s">
        <v>83</v>
      </c>
      <c r="U17" s="9" t="s">
        <v>84</v>
      </c>
      <c r="V17" s="9" t="s">
        <v>85</v>
      </c>
      <c r="W17" s="9" t="s">
        <v>86</v>
      </c>
    </row>
    <row r="18" spans="1:23" x14ac:dyDescent="0.3">
      <c r="A18" s="54" t="s">
        <v>102</v>
      </c>
      <c r="B18" s="54" t="s">
        <v>104</v>
      </c>
      <c r="C18" s="68" t="s">
        <v>110</v>
      </c>
      <c r="D18" s="54" t="s">
        <v>105</v>
      </c>
      <c r="E18" s="54" t="s">
        <v>126</v>
      </c>
      <c r="F18" s="54" t="s">
        <v>127</v>
      </c>
      <c r="H18">
        <v>2</v>
      </c>
      <c r="I18">
        <v>2</v>
      </c>
      <c r="J18">
        <v>1</v>
      </c>
      <c r="K18">
        <v>1</v>
      </c>
      <c r="N18" s="53" t="s">
        <v>89</v>
      </c>
      <c r="O18" s="5"/>
      <c r="P18" s="5" t="s">
        <v>87</v>
      </c>
      <c r="Q18" s="37" t="s">
        <v>120</v>
      </c>
      <c r="R18" s="5" t="s">
        <v>88</v>
      </c>
      <c r="T18" s="41">
        <f>P19/(P19+Q19)</f>
        <v>0.5</v>
      </c>
      <c r="U18" s="41">
        <f>1-T18</f>
        <v>0.5</v>
      </c>
      <c r="V18" s="41">
        <f>Q20/(Q20+P20)</f>
        <v>0.45833333333333331</v>
      </c>
      <c r="W18" s="41">
        <f>1-V18</f>
        <v>0.54166666666666674</v>
      </c>
    </row>
    <row r="19" spans="1:23" x14ac:dyDescent="0.3">
      <c r="A19" s="54"/>
      <c r="B19" s="54"/>
      <c r="C19" s="69"/>
      <c r="D19" s="54"/>
      <c r="E19" s="54"/>
      <c r="F19" s="54"/>
      <c r="H19">
        <v>1</v>
      </c>
      <c r="I19">
        <v>1</v>
      </c>
      <c r="J19">
        <v>2</v>
      </c>
      <c r="K19">
        <v>2</v>
      </c>
      <c r="N19" s="53"/>
      <c r="O19" s="5" t="s">
        <v>87</v>
      </c>
      <c r="P19" s="7">
        <v>12</v>
      </c>
      <c r="Q19" s="7">
        <v>12</v>
      </c>
      <c r="R19" s="7">
        <f>P19+Q19</f>
        <v>24</v>
      </c>
    </row>
    <row r="20" spans="1:23" x14ac:dyDescent="0.3">
      <c r="A20" s="54"/>
      <c r="B20" s="54"/>
      <c r="C20" s="69"/>
      <c r="D20" s="54"/>
      <c r="E20" s="54"/>
      <c r="F20" s="54"/>
      <c r="H20">
        <v>2</v>
      </c>
      <c r="I20">
        <v>2</v>
      </c>
      <c r="J20">
        <v>1</v>
      </c>
      <c r="K20">
        <v>1</v>
      </c>
      <c r="N20" s="53"/>
      <c r="O20" s="37" t="s">
        <v>120</v>
      </c>
      <c r="P20" s="7">
        <v>13</v>
      </c>
      <c r="Q20" s="7">
        <v>11</v>
      </c>
      <c r="R20" s="7">
        <f>P20+Q20</f>
        <v>24</v>
      </c>
    </row>
    <row r="21" spans="1:23" x14ac:dyDescent="0.3">
      <c r="A21" s="54"/>
      <c r="B21" s="54"/>
      <c r="C21" s="70"/>
      <c r="D21" s="54"/>
      <c r="E21" s="54"/>
      <c r="F21" s="54"/>
      <c r="H21">
        <v>1</v>
      </c>
      <c r="I21">
        <v>1</v>
      </c>
      <c r="J21">
        <v>1</v>
      </c>
      <c r="K21">
        <v>2</v>
      </c>
      <c r="N21" s="5" t="s">
        <v>88</v>
      </c>
      <c r="O21" s="5"/>
      <c r="P21" s="7">
        <f>P19+P20</f>
        <v>25</v>
      </c>
      <c r="Q21" s="7">
        <f>Q19+Q20</f>
        <v>23</v>
      </c>
      <c r="R21" s="7">
        <f>R19+R20</f>
        <v>48</v>
      </c>
    </row>
    <row r="22" spans="1:23" x14ac:dyDescent="0.3">
      <c r="A22" s="37">
        <v>1</v>
      </c>
      <c r="B22" s="37">
        <v>81</v>
      </c>
      <c r="C22" s="40">
        <f>($C$4*$D$11*$A$11^0)+($D$3*$B$11*$C$11^0)</f>
        <v>71.811244979919678</v>
      </c>
      <c r="D22" s="37">
        <v>77.507000000000005</v>
      </c>
      <c r="E22" s="5" t="s">
        <v>125</v>
      </c>
      <c r="F22" s="5" t="s">
        <v>125</v>
      </c>
      <c r="H22">
        <v>1</v>
      </c>
      <c r="I22">
        <v>2</v>
      </c>
      <c r="J22">
        <v>2</v>
      </c>
      <c r="K22">
        <v>1</v>
      </c>
    </row>
    <row r="23" spans="1:23" x14ac:dyDescent="0.3">
      <c r="A23" s="37">
        <v>2</v>
      </c>
      <c r="B23" s="37">
        <v>23</v>
      </c>
      <c r="C23" s="40">
        <f>($C$4*$D$11*$A$11^1)+($D$3*$B$11*$C$11^1)</f>
        <v>26.543172690763054</v>
      </c>
      <c r="D23" s="37">
        <v>25.016999999999999</v>
      </c>
      <c r="E23" s="5" t="s">
        <v>125</v>
      </c>
      <c r="F23" s="5" t="s">
        <v>125</v>
      </c>
      <c r="H23">
        <v>1</v>
      </c>
      <c r="I23">
        <v>1</v>
      </c>
      <c r="J23">
        <v>1</v>
      </c>
      <c r="K23">
        <v>2</v>
      </c>
      <c r="N23" s="5" t="s">
        <v>117</v>
      </c>
      <c r="O23" s="53" t="s">
        <v>90</v>
      </c>
      <c r="P23" s="53"/>
      <c r="Q23" s="53"/>
      <c r="R23" s="5"/>
      <c r="T23" s="9" t="s">
        <v>83</v>
      </c>
      <c r="U23" s="9" t="s">
        <v>84</v>
      </c>
      <c r="V23" s="9" t="s">
        <v>85</v>
      </c>
      <c r="W23" s="9" t="s">
        <v>86</v>
      </c>
    </row>
    <row r="24" spans="1:23" x14ac:dyDescent="0.3">
      <c r="A24" s="37">
        <v>3</v>
      </c>
      <c r="B24" s="37">
        <v>5</v>
      </c>
      <c r="C24" s="40">
        <f>($C$4*$D$11*$A$11^2)+($D$3*$B$11*$C$11^2)</f>
        <v>10.001430420477091</v>
      </c>
      <c r="D24" s="37">
        <v>8.9640000000000004</v>
      </c>
      <c r="E24" s="37">
        <v>1</v>
      </c>
      <c r="F24" s="5">
        <v>4</v>
      </c>
      <c r="H24">
        <v>1</v>
      </c>
      <c r="I24">
        <v>2</v>
      </c>
      <c r="J24">
        <v>1</v>
      </c>
      <c r="K24">
        <v>1</v>
      </c>
      <c r="N24" s="53" t="s">
        <v>89</v>
      </c>
      <c r="O24" s="5"/>
      <c r="P24" s="5" t="s">
        <v>87</v>
      </c>
      <c r="Q24" s="37" t="s">
        <v>120</v>
      </c>
      <c r="R24" s="5" t="s">
        <v>88</v>
      </c>
      <c r="T24" s="41">
        <f>P25/(P25+Q25)</f>
        <v>0.44</v>
      </c>
      <c r="U24" s="41">
        <f>1-T24</f>
        <v>0.56000000000000005</v>
      </c>
      <c r="V24" s="40">
        <f>Q26/(Q26+P26)</f>
        <v>0.125</v>
      </c>
      <c r="W24" s="40">
        <f>1-V24</f>
        <v>0.875</v>
      </c>
    </row>
    <row r="25" spans="1:23" x14ac:dyDescent="0.3">
      <c r="A25" s="37">
        <v>4</v>
      </c>
      <c r="B25" s="37">
        <v>3</v>
      </c>
      <c r="C25" s="40">
        <f>($C$4*$D$11*$A$11^3)+($D$3*$B$11*$C$11^3)</f>
        <v>3.8357705480799673</v>
      </c>
      <c r="D25" s="37">
        <v>3.298</v>
      </c>
      <c r="E25" s="5">
        <v>1</v>
      </c>
      <c r="F25" s="5">
        <v>2</v>
      </c>
      <c r="H25">
        <v>2</v>
      </c>
      <c r="I25">
        <v>1</v>
      </c>
      <c r="J25">
        <v>2</v>
      </c>
      <c r="K25">
        <v>1</v>
      </c>
      <c r="N25" s="53"/>
      <c r="O25" s="5" t="s">
        <v>87</v>
      </c>
      <c r="P25" s="7">
        <v>11</v>
      </c>
      <c r="Q25" s="7">
        <v>14</v>
      </c>
      <c r="R25" s="7">
        <f>P25+Q25</f>
        <v>25</v>
      </c>
    </row>
    <row r="26" spans="1:23" x14ac:dyDescent="0.3">
      <c r="A26" s="37">
        <v>5</v>
      </c>
      <c r="B26" s="37">
        <v>1</v>
      </c>
      <c r="C26" s="40">
        <f>($C$4*$D$11*$A$11^4)+($D$3*$B$11*$C$11^4)</f>
        <v>1.4943968210764202</v>
      </c>
      <c r="D26" s="37">
        <v>1.2649999999999999</v>
      </c>
      <c r="E26" s="5">
        <v>1</v>
      </c>
      <c r="F26" s="5">
        <v>0</v>
      </c>
      <c r="H26">
        <v>1</v>
      </c>
      <c r="I26">
        <v>1</v>
      </c>
      <c r="J26">
        <v>1</v>
      </c>
      <c r="K26">
        <v>2</v>
      </c>
      <c r="N26" s="53"/>
      <c r="O26" s="37" t="s">
        <v>120</v>
      </c>
      <c r="P26" s="7">
        <v>14</v>
      </c>
      <c r="Q26" s="7">
        <v>2</v>
      </c>
      <c r="R26" s="7">
        <f>P26+Q26</f>
        <v>16</v>
      </c>
    </row>
    <row r="27" spans="1:23" x14ac:dyDescent="0.3">
      <c r="A27" s="37">
        <v>6</v>
      </c>
      <c r="B27" s="37">
        <v>2</v>
      </c>
      <c r="C27" s="40">
        <f>($C$4*$D$11*$A$11^5)+($D$3*$B$11*$C$11^5)</f>
        <v>0.59013686513269259</v>
      </c>
      <c r="D27" s="37">
        <v>0.503</v>
      </c>
      <c r="E27" s="5">
        <v>2</v>
      </c>
      <c r="F27" s="5">
        <v>0</v>
      </c>
      <c r="H27">
        <v>2</v>
      </c>
      <c r="I27">
        <v>2</v>
      </c>
      <c r="J27">
        <v>2</v>
      </c>
      <c r="K27">
        <v>1</v>
      </c>
      <c r="N27" s="5" t="s">
        <v>88</v>
      </c>
      <c r="O27" s="5"/>
      <c r="P27" s="7">
        <f>P25+P26</f>
        <v>25</v>
      </c>
      <c r="Q27" s="7">
        <f>Q25+Q26</f>
        <v>16</v>
      </c>
      <c r="R27" s="7">
        <f>R25+R26</f>
        <v>41</v>
      </c>
    </row>
    <row r="28" spans="1:23" x14ac:dyDescent="0.3">
      <c r="A28" s="37">
        <v>7</v>
      </c>
      <c r="B28" s="37">
        <v>0</v>
      </c>
      <c r="C28" s="40">
        <f>($C$4*$D$11*$A$11^6)+($D$3*$B$11*$C$11^6)</f>
        <v>0.2357007170798523</v>
      </c>
      <c r="D28" s="37">
        <v>0.16500000000000001</v>
      </c>
      <c r="E28" s="5">
        <v>0</v>
      </c>
      <c r="F28" s="5">
        <v>0</v>
      </c>
      <c r="H28">
        <v>1</v>
      </c>
      <c r="I28">
        <v>1</v>
      </c>
      <c r="J28">
        <v>2</v>
      </c>
      <c r="K28">
        <v>2</v>
      </c>
    </row>
    <row r="29" spans="1:23" x14ac:dyDescent="0.3">
      <c r="A29" s="37">
        <v>8</v>
      </c>
      <c r="B29" s="37">
        <v>1</v>
      </c>
      <c r="C29" s="40">
        <f>($C$4*$D$11*$A$11^7)+($D$3*$B$11*$C$11^7)</f>
        <v>9.5016695632331893E-2</v>
      </c>
      <c r="D29" s="37">
        <v>6.8000000000000005E-2</v>
      </c>
      <c r="E29" s="5">
        <v>1</v>
      </c>
      <c r="F29" s="5">
        <v>0</v>
      </c>
      <c r="H29">
        <v>1</v>
      </c>
      <c r="I29">
        <v>2</v>
      </c>
      <c r="J29">
        <v>2</v>
      </c>
      <c r="K29">
        <v>1</v>
      </c>
    </row>
    <row r="30" spans="1:23" x14ac:dyDescent="0.3">
      <c r="A30" s="37" t="s">
        <v>103</v>
      </c>
      <c r="B30" s="37">
        <v>0</v>
      </c>
      <c r="C30" s="40">
        <f>($C$4*$D$11*$A$11^8)+($D$3*$B$11*$C$11^8)</f>
        <v>3.8590406128839863E-2</v>
      </c>
      <c r="D30" s="37">
        <v>3.5000000000000003E-2</v>
      </c>
      <c r="E30" s="5">
        <v>0</v>
      </c>
      <c r="F30" s="5">
        <v>0</v>
      </c>
      <c r="H30">
        <v>2</v>
      </c>
      <c r="I30">
        <v>1</v>
      </c>
      <c r="J30">
        <v>2</v>
      </c>
      <c r="K30">
        <v>2</v>
      </c>
    </row>
    <row r="31" spans="1:23" x14ac:dyDescent="0.3">
      <c r="H31">
        <v>1</v>
      </c>
      <c r="I31">
        <v>2</v>
      </c>
      <c r="J31">
        <v>1</v>
      </c>
      <c r="K31">
        <v>1</v>
      </c>
    </row>
    <row r="32" spans="1:23" ht="14.4" customHeight="1" x14ac:dyDescent="0.3">
      <c r="A32" s="53"/>
      <c r="B32" s="54" t="s">
        <v>130</v>
      </c>
      <c r="C32" s="54"/>
      <c r="D32" s="54" t="s">
        <v>131</v>
      </c>
      <c r="E32" s="54"/>
      <c r="F32" s="53" t="s">
        <v>128</v>
      </c>
      <c r="G32" s="53" t="s">
        <v>129</v>
      </c>
      <c r="H32">
        <v>1</v>
      </c>
      <c r="I32">
        <v>2</v>
      </c>
      <c r="J32">
        <v>1</v>
      </c>
      <c r="K32">
        <v>2</v>
      </c>
    </row>
    <row r="33" spans="1:11" x14ac:dyDescent="0.3">
      <c r="A33" s="53"/>
      <c r="B33" s="54"/>
      <c r="C33" s="54"/>
      <c r="D33" s="54"/>
      <c r="E33" s="54"/>
      <c r="F33" s="53"/>
      <c r="G33" s="53"/>
      <c r="H33">
        <v>2</v>
      </c>
      <c r="I33">
        <v>1</v>
      </c>
      <c r="J33">
        <v>2</v>
      </c>
      <c r="K33">
        <v>1</v>
      </c>
    </row>
    <row r="34" spans="1:11" x14ac:dyDescent="0.3">
      <c r="A34" s="5" t="s">
        <v>87</v>
      </c>
      <c r="B34" s="64">
        <f>E24+E25+E26+E27+E28+E29+E30</f>
        <v>6</v>
      </c>
      <c r="C34" s="65"/>
      <c r="D34" s="66">
        <f>E24*1+E25*2+E26*3+E27*4+E28*5+E29*6+E30*7</f>
        <v>20</v>
      </c>
      <c r="E34" s="67"/>
      <c r="F34" s="48">
        <f>B34/D34</f>
        <v>0.3</v>
      </c>
      <c r="G34" s="49">
        <f>F34</f>
        <v>0.3</v>
      </c>
      <c r="H34">
        <v>1</v>
      </c>
      <c r="I34">
        <v>1</v>
      </c>
      <c r="J34">
        <v>2</v>
      </c>
      <c r="K34">
        <v>2</v>
      </c>
    </row>
    <row r="35" spans="1:11" x14ac:dyDescent="0.3">
      <c r="A35" s="37" t="s">
        <v>120</v>
      </c>
      <c r="B35" s="64">
        <f>F24+F25+F26+F27+F28+F29+F30</f>
        <v>6</v>
      </c>
      <c r="C35" s="65"/>
      <c r="D35" s="66">
        <f>F24*1+F25*2+F26*3+F27*4+F28*5+F29*6+F30*7</f>
        <v>8</v>
      </c>
      <c r="E35" s="67"/>
      <c r="F35" s="48">
        <f>B35/D35</f>
        <v>0.75</v>
      </c>
      <c r="G35" s="49">
        <f>F35</f>
        <v>0.75</v>
      </c>
      <c r="H35">
        <v>1</v>
      </c>
      <c r="I35">
        <v>2</v>
      </c>
      <c r="J35">
        <v>1</v>
      </c>
      <c r="K35">
        <v>1</v>
      </c>
    </row>
    <row r="36" spans="1:11" x14ac:dyDescent="0.3">
      <c r="H36">
        <v>2</v>
      </c>
      <c r="I36">
        <v>2</v>
      </c>
      <c r="J36">
        <v>1</v>
      </c>
      <c r="K36">
        <v>1</v>
      </c>
    </row>
    <row r="37" spans="1:11" x14ac:dyDescent="0.3">
      <c r="H37">
        <v>1</v>
      </c>
      <c r="I37">
        <v>2</v>
      </c>
      <c r="J37">
        <v>1</v>
      </c>
      <c r="K37">
        <v>2</v>
      </c>
    </row>
    <row r="38" spans="1:11" x14ac:dyDescent="0.3">
      <c r="A38" s="76"/>
      <c r="B38" s="77" t="s">
        <v>130</v>
      </c>
      <c r="C38" s="77"/>
      <c r="D38" s="78" t="s">
        <v>90</v>
      </c>
      <c r="E38" s="78"/>
      <c r="F38" s="79" t="s">
        <v>88</v>
      </c>
      <c r="H38">
        <v>2</v>
      </c>
      <c r="I38">
        <v>1</v>
      </c>
      <c r="J38">
        <v>1</v>
      </c>
      <c r="K38">
        <v>2</v>
      </c>
    </row>
    <row r="39" spans="1:11" x14ac:dyDescent="0.3">
      <c r="A39" s="80" t="s">
        <v>87</v>
      </c>
      <c r="B39" s="83">
        <v>6</v>
      </c>
      <c r="C39" s="83"/>
      <c r="D39" s="92">
        <v>40</v>
      </c>
      <c r="E39" s="92"/>
      <c r="F39" s="82">
        <f>SUM(B39+D39)</f>
        <v>46</v>
      </c>
      <c r="H39">
        <v>2</v>
      </c>
      <c r="I39">
        <v>2</v>
      </c>
      <c r="J39">
        <v>1</v>
      </c>
      <c r="K39">
        <v>1</v>
      </c>
    </row>
    <row r="40" spans="1:11" x14ac:dyDescent="0.3">
      <c r="A40" s="80" t="s">
        <v>120</v>
      </c>
      <c r="B40" s="83">
        <v>6</v>
      </c>
      <c r="C40" s="83"/>
      <c r="D40" s="92">
        <v>26</v>
      </c>
      <c r="E40" s="92"/>
      <c r="F40" s="82">
        <f>SUM(B40+D40)</f>
        <v>32</v>
      </c>
      <c r="H40">
        <v>2</v>
      </c>
      <c r="I40">
        <v>1</v>
      </c>
      <c r="J40">
        <v>1</v>
      </c>
      <c r="K40">
        <v>2</v>
      </c>
    </row>
    <row r="41" spans="1:11" x14ac:dyDescent="0.3">
      <c r="A41" s="85"/>
      <c r="B41" s="86">
        <f>SUM(B39:B40)</f>
        <v>12</v>
      </c>
      <c r="C41" s="86"/>
      <c r="D41" s="87">
        <f>SUM(D39:D40)</f>
        <v>66</v>
      </c>
      <c r="E41" s="87"/>
      <c r="F41" s="82">
        <f>SUM(F39:F40)</f>
        <v>78</v>
      </c>
      <c r="H41">
        <v>2</v>
      </c>
      <c r="I41">
        <v>2</v>
      </c>
      <c r="J41">
        <v>2</v>
      </c>
      <c r="K41">
        <v>1</v>
      </c>
    </row>
    <row r="42" spans="1:11" x14ac:dyDescent="0.3">
      <c r="A42" s="40"/>
      <c r="B42" s="84" t="s">
        <v>134</v>
      </c>
      <c r="C42" s="84"/>
      <c r="D42" s="84" t="s">
        <v>132</v>
      </c>
      <c r="E42" s="84"/>
      <c r="F42" s="73"/>
      <c r="H42">
        <v>1</v>
      </c>
      <c r="I42">
        <v>1</v>
      </c>
      <c r="J42">
        <v>2</v>
      </c>
      <c r="K42">
        <v>1</v>
      </c>
    </row>
    <row r="43" spans="1:11" x14ac:dyDescent="0.3">
      <c r="A43" s="82" t="s">
        <v>87</v>
      </c>
      <c r="B43" s="81">
        <f>B41*F39/F41</f>
        <v>7.0769230769230766</v>
      </c>
      <c r="C43" s="81"/>
      <c r="D43" s="81">
        <f>D41*F39/F41</f>
        <v>38.92307692307692</v>
      </c>
      <c r="E43" s="81"/>
      <c r="F43" s="73"/>
      <c r="H43">
        <v>2</v>
      </c>
      <c r="I43">
        <v>2</v>
      </c>
      <c r="J43">
        <v>2</v>
      </c>
      <c r="K43">
        <v>1</v>
      </c>
    </row>
    <row r="44" spans="1:11" x14ac:dyDescent="0.3">
      <c r="A44" s="82" t="s">
        <v>120</v>
      </c>
      <c r="B44" s="81">
        <f>B41*F40/F41</f>
        <v>4.9230769230769234</v>
      </c>
      <c r="C44" s="81"/>
      <c r="D44" s="81">
        <f>D41*F40/F41</f>
        <v>27.076923076923077</v>
      </c>
      <c r="E44" s="81"/>
      <c r="F44" s="73"/>
      <c r="H44">
        <v>2</v>
      </c>
      <c r="I44">
        <v>1</v>
      </c>
      <c r="J44">
        <v>1</v>
      </c>
      <c r="K44">
        <v>1</v>
      </c>
    </row>
    <row r="45" spans="1:11" x14ac:dyDescent="0.3">
      <c r="A45" s="88"/>
      <c r="B45" s="88"/>
      <c r="C45" s="88"/>
      <c r="D45" s="88"/>
      <c r="E45" s="88"/>
      <c r="F45" s="73"/>
      <c r="H45">
        <v>1</v>
      </c>
      <c r="I45">
        <v>2</v>
      </c>
      <c r="J45">
        <v>1</v>
      </c>
      <c r="K45">
        <v>1</v>
      </c>
    </row>
    <row r="46" spans="1:11" x14ac:dyDescent="0.3">
      <c r="A46" s="88" t="s">
        <v>135</v>
      </c>
      <c r="B46" s="89">
        <f>CHITEST(B39:E40,B43:E44)</f>
        <v>0.92497999746181891</v>
      </c>
      <c r="C46" s="88"/>
      <c r="D46" s="88"/>
      <c r="E46" s="88"/>
      <c r="F46" s="73"/>
      <c r="H46">
        <v>2</v>
      </c>
      <c r="I46">
        <v>2</v>
      </c>
      <c r="J46">
        <v>1</v>
      </c>
      <c r="K46">
        <v>1</v>
      </c>
    </row>
    <row r="47" spans="1:11" x14ac:dyDescent="0.3">
      <c r="H47">
        <v>2</v>
      </c>
      <c r="I47">
        <v>1</v>
      </c>
      <c r="J47">
        <v>2</v>
      </c>
    </row>
    <row r="48" spans="1:11" x14ac:dyDescent="0.3">
      <c r="H48">
        <v>2</v>
      </c>
      <c r="I48">
        <v>1</v>
      </c>
      <c r="J48">
        <v>1</v>
      </c>
    </row>
    <row r="49" spans="1:10" x14ac:dyDescent="0.3">
      <c r="H49">
        <v>1</v>
      </c>
      <c r="J49">
        <v>2</v>
      </c>
    </row>
    <row r="50" spans="1:10" x14ac:dyDescent="0.3">
      <c r="A50" s="71"/>
      <c r="B50" s="72"/>
      <c r="C50" s="72"/>
      <c r="D50" s="91"/>
      <c r="E50" s="91"/>
      <c r="F50" s="75"/>
      <c r="H50">
        <v>2</v>
      </c>
      <c r="J50">
        <v>2</v>
      </c>
    </row>
    <row r="51" spans="1:10" x14ac:dyDescent="0.3">
      <c r="A51" s="72"/>
      <c r="B51" s="72"/>
      <c r="C51" s="72"/>
      <c r="D51" s="91"/>
      <c r="E51" s="91"/>
      <c r="F51" s="75"/>
      <c r="H51">
        <v>1</v>
      </c>
      <c r="J51">
        <v>2</v>
      </c>
    </row>
    <row r="52" spans="1:10" x14ac:dyDescent="0.3">
      <c r="A52" s="72"/>
      <c r="B52" s="93"/>
      <c r="C52" s="93"/>
      <c r="D52" s="94"/>
      <c r="E52" s="94"/>
      <c r="F52" s="73"/>
      <c r="H52">
        <v>2</v>
      </c>
      <c r="J52">
        <v>1</v>
      </c>
    </row>
    <row r="53" spans="1:10" x14ac:dyDescent="0.3">
      <c r="A53" s="72"/>
      <c r="B53" s="93"/>
      <c r="C53" s="93"/>
      <c r="D53" s="94"/>
      <c r="E53" s="94"/>
      <c r="F53" s="73"/>
      <c r="J53">
        <v>1</v>
      </c>
    </row>
    <row r="54" spans="1:10" x14ac:dyDescent="0.3">
      <c r="A54" s="71"/>
      <c r="B54" s="71"/>
      <c r="C54" s="74"/>
      <c r="D54" s="74"/>
      <c r="E54" s="74"/>
      <c r="F54" s="73"/>
    </row>
    <row r="55" spans="1:10" x14ac:dyDescent="0.3">
      <c r="A55" s="73"/>
      <c r="B55" s="73"/>
      <c r="C55" s="73"/>
      <c r="D55" s="73"/>
      <c r="E55" s="73"/>
      <c r="F55" s="73"/>
    </row>
    <row r="56" spans="1:10" x14ac:dyDescent="0.3">
      <c r="A56" s="73"/>
      <c r="B56" s="90"/>
      <c r="C56" s="90"/>
      <c r="D56" s="90"/>
      <c r="E56" s="90"/>
      <c r="F56" s="73"/>
    </row>
    <row r="57" spans="1:10" x14ac:dyDescent="0.3">
      <c r="A57" s="73"/>
      <c r="B57" s="90"/>
      <c r="C57" s="90"/>
      <c r="D57" s="90"/>
      <c r="E57" s="90"/>
      <c r="F57" s="73"/>
    </row>
    <row r="58" spans="1:10" x14ac:dyDescent="0.3">
      <c r="A58" s="73"/>
      <c r="B58" s="73"/>
      <c r="C58" s="73"/>
      <c r="D58" s="73"/>
      <c r="E58" s="73"/>
      <c r="F58" s="73"/>
    </row>
    <row r="59" spans="1:10" x14ac:dyDescent="0.3">
      <c r="A59" s="73"/>
      <c r="B59" s="73"/>
      <c r="C59" s="73"/>
      <c r="D59" s="73"/>
      <c r="E59" s="73"/>
      <c r="F59" s="73"/>
    </row>
  </sheetData>
  <mergeCells count="40">
    <mergeCell ref="B42:C42"/>
    <mergeCell ref="D42:E42"/>
    <mergeCell ref="B43:C43"/>
    <mergeCell ref="D43:E43"/>
    <mergeCell ref="B44:C44"/>
    <mergeCell ref="D44:E44"/>
    <mergeCell ref="B39:C39"/>
    <mergeCell ref="D39:E39"/>
    <mergeCell ref="B40:C40"/>
    <mergeCell ref="D40:E40"/>
    <mergeCell ref="B41:C41"/>
    <mergeCell ref="D41:E41"/>
    <mergeCell ref="B1:D1"/>
    <mergeCell ref="A2:A4"/>
    <mergeCell ref="E10:F12"/>
    <mergeCell ref="A18:A21"/>
    <mergeCell ref="B18:B21"/>
    <mergeCell ref="C18:C21"/>
    <mergeCell ref="D18:D21"/>
    <mergeCell ref="E18:E21"/>
    <mergeCell ref="F18:F21"/>
    <mergeCell ref="O5:Q5"/>
    <mergeCell ref="N6:N8"/>
    <mergeCell ref="O11:Q11"/>
    <mergeCell ref="N12:N14"/>
    <mergeCell ref="O17:Q17"/>
    <mergeCell ref="N18:N20"/>
    <mergeCell ref="O23:Q23"/>
    <mergeCell ref="N24:N26"/>
    <mergeCell ref="F32:F33"/>
    <mergeCell ref="G32:G33"/>
    <mergeCell ref="B34:C34"/>
    <mergeCell ref="D34:E34"/>
    <mergeCell ref="B35:C35"/>
    <mergeCell ref="D35:E35"/>
    <mergeCell ref="A32:A33"/>
    <mergeCell ref="B32:C33"/>
    <mergeCell ref="D32:E33"/>
    <mergeCell ref="B38:C38"/>
    <mergeCell ref="D38:E38"/>
  </mergeCells>
  <conditionalFormatting sqref="A55:E55 A56:B57 D56:D57 A58:E59">
    <cfRule type="cellIs" dxfId="156" priority="5" operator="equal">
      <formula>1</formula>
    </cfRule>
    <cfRule type="cellIs" dxfId="155" priority="6" operator="equal">
      <formula>2</formula>
    </cfRule>
    <cfRule type="cellIs" dxfId="154" priority="7" operator="equal">
      <formula>1</formula>
    </cfRule>
    <cfRule type="cellIs" dxfId="153" priority="8" operator="equal">
      <formula>2</formula>
    </cfRule>
  </conditionalFormatting>
  <conditionalFormatting sqref="H5:K53">
    <cfRule type="cellIs" dxfId="152" priority="9" operator="equal">
      <formula>1</formula>
    </cfRule>
    <cfRule type="cellIs" dxfId="151" priority="10" operator="equal">
      <formula>2</formula>
    </cfRule>
  </conditionalFormatting>
  <conditionalFormatting sqref="A43:B44 A45:E46 D42:D44 B42">
    <cfRule type="cellIs" dxfId="79" priority="1" operator="equal">
      <formula>1</formula>
    </cfRule>
    <cfRule type="cellIs" dxfId="78" priority="2" operator="equal">
      <formula>2</formula>
    </cfRule>
    <cfRule type="cellIs" dxfId="77" priority="3" operator="equal">
      <formula>1</formula>
    </cfRule>
    <cfRule type="cellIs" dxfId="76" priority="4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28</vt:i4>
      </vt:variant>
    </vt:vector>
  </HeadingPairs>
  <TitlesOfParts>
    <vt:vector size="28" baseType="lpstr">
      <vt:lpstr>Sumar</vt:lpstr>
      <vt:lpstr>Prvy</vt:lpstr>
      <vt:lpstr>Druhy</vt:lpstr>
      <vt:lpstr>Treti</vt:lpstr>
      <vt:lpstr>Stvrty</vt:lpstr>
      <vt:lpstr>Piaty</vt:lpstr>
      <vt:lpstr>Siesty</vt:lpstr>
      <vt:lpstr>Siedmy</vt:lpstr>
      <vt:lpstr>Osmy</vt:lpstr>
      <vt:lpstr>Deviaty</vt:lpstr>
      <vt:lpstr>Desiaty</vt:lpstr>
      <vt:lpstr>Jedenasty</vt:lpstr>
      <vt:lpstr>Dvanasty</vt:lpstr>
      <vt:lpstr>Trinasty</vt:lpstr>
      <vt:lpstr>Strnasty</vt:lpstr>
      <vt:lpstr>Patnasty</vt:lpstr>
      <vt:lpstr>Sestnasty</vt:lpstr>
      <vt:lpstr>Sedemnasty</vt:lpstr>
      <vt:lpstr>Osemnasty</vt:lpstr>
      <vt:lpstr>Devatnasty</vt:lpstr>
      <vt:lpstr>Dvadsiaty</vt:lpstr>
      <vt:lpstr>Dvadsiaty_prvý</vt:lpstr>
      <vt:lpstr>Dvadsiaty_druhy</vt:lpstr>
      <vt:lpstr>Dvadsiaty_treti</vt:lpstr>
      <vt:lpstr>Dvadsiaty_stvrty</vt:lpstr>
      <vt:lpstr>Dvadsiaty_piaty</vt:lpstr>
      <vt:lpstr>Dvadsiaty_siesty</vt:lpstr>
      <vt:lpstr>Dvadsiaty_siedmy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Hegys</dc:creator>
  <cp:lastModifiedBy>Hegys</cp:lastModifiedBy>
  <dcterms:created xsi:type="dcterms:W3CDTF">2023-01-23T18:50:56Z</dcterms:created>
  <dcterms:modified xsi:type="dcterms:W3CDTF">2023-04-23T12:27:58Z</dcterms:modified>
</cp:coreProperties>
</file>