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735" windowHeight="4785" tabRatio="732" activeTab="1"/>
  </bookViews>
  <sheets>
    <sheet name="Systems" sheetId="11" r:id="rId1"/>
    <sheet name="Pretty wARM" sheetId="13" r:id="rId2"/>
    <sheet name="Pretty Comparison" sheetId="10" r:id="rId3"/>
    <sheet name="Comparison" sheetId="3" r:id="rId4"/>
    <sheet name="Arduino Uno" sheetId="4" r:id="rId5"/>
    <sheet name="Arduino M0 Pro" sheetId="1" r:id="rId6"/>
    <sheet name="Maple" sheetId="5" r:id="rId7"/>
    <sheet name="Arduino Due" sheetId="6" r:id="rId8"/>
    <sheet name="Teensy 3.2" sheetId="7" r:id="rId9"/>
    <sheet name="NXP K66" sheetId="9" r:id="rId10"/>
    <sheet name="Python" sheetId="8" r:id="rId11"/>
    <sheet name="Sheet2" sheetId="12" r:id="rId12"/>
  </sheets>
  <calcPr calcId="145621" calcOnSave="0"/>
</workbook>
</file>

<file path=xl/calcChain.xml><?xml version="1.0" encoding="utf-8"?>
<calcChain xmlns="http://schemas.openxmlformats.org/spreadsheetml/2006/main">
  <c r="N23" i="13" l="1"/>
  <c r="O11" i="13"/>
  <c r="O19" i="13"/>
  <c r="O27" i="13"/>
  <c r="O21" i="13"/>
  <c r="O20" i="13"/>
  <c r="O13" i="13"/>
  <c r="O12" i="13"/>
  <c r="N7" i="13"/>
  <c r="N8" i="13"/>
  <c r="N9" i="13"/>
  <c r="N10" i="13"/>
  <c r="N6" i="13"/>
  <c r="N5" i="13"/>
  <c r="O23" i="13"/>
  <c r="O24" i="13"/>
  <c r="O25" i="13"/>
  <c r="O26" i="13"/>
  <c r="O22" i="13"/>
  <c r="O15" i="13"/>
  <c r="O16" i="13"/>
  <c r="O17" i="13"/>
  <c r="O18" i="13"/>
  <c r="O14" i="13"/>
  <c r="O7" i="13"/>
  <c r="O8" i="13"/>
  <c r="O9" i="13"/>
  <c r="O10" i="13"/>
  <c r="O6" i="13"/>
  <c r="O5" i="13"/>
  <c r="O4" i="13"/>
  <c r="N21" i="13"/>
  <c r="N20" i="13"/>
  <c r="N13" i="13"/>
  <c r="N12" i="13"/>
  <c r="N14" i="13"/>
  <c r="N15" i="13"/>
  <c r="N16" i="13"/>
  <c r="N17" i="13"/>
  <c r="N18" i="13"/>
  <c r="N22" i="13"/>
  <c r="N24" i="13"/>
  <c r="N25" i="13"/>
  <c r="N26" i="13"/>
  <c r="N4" i="13"/>
  <c r="J21" i="13" l="1"/>
  <c r="K21" i="13"/>
  <c r="L21" i="13"/>
  <c r="I21" i="13"/>
  <c r="J20" i="13"/>
  <c r="K20" i="13"/>
  <c r="I20" i="13"/>
  <c r="I96" i="13" l="1"/>
  <c r="J96" i="13"/>
  <c r="K96" i="13"/>
  <c r="E97" i="13"/>
  <c r="F97" i="13"/>
  <c r="G97" i="13"/>
  <c r="H97" i="13"/>
  <c r="I97" i="13"/>
  <c r="J97" i="13"/>
  <c r="K97" i="13"/>
  <c r="L97" i="13"/>
  <c r="D97" i="13"/>
  <c r="C96" i="13"/>
  <c r="B98" i="13"/>
  <c r="B99" i="13"/>
  <c r="B100" i="13"/>
  <c r="B96" i="13"/>
  <c r="B95" i="13"/>
  <c r="B94" i="13"/>
  <c r="C88" i="13"/>
  <c r="C89" i="13"/>
  <c r="C87" i="13"/>
  <c r="C106" i="13"/>
  <c r="I106" i="13"/>
  <c r="J106" i="13"/>
  <c r="D107" i="13"/>
  <c r="E107" i="13"/>
  <c r="F107" i="13"/>
  <c r="G107" i="13"/>
  <c r="H107" i="13"/>
  <c r="I107" i="13"/>
  <c r="J107" i="13"/>
  <c r="K107" i="13"/>
  <c r="L107" i="13"/>
  <c r="B127" i="13"/>
  <c r="B128" i="13"/>
  <c r="B106" i="13"/>
  <c r="B108" i="13"/>
  <c r="B109" i="13"/>
  <c r="B110" i="13"/>
  <c r="B111" i="13"/>
  <c r="B112" i="13"/>
  <c r="B116" i="13"/>
  <c r="B117" i="13"/>
  <c r="B118" i="13"/>
  <c r="B119" i="13"/>
  <c r="B120" i="13"/>
  <c r="B124" i="13"/>
  <c r="B125" i="13"/>
  <c r="B126" i="13"/>
  <c r="B105" i="13"/>
  <c r="E86" i="13"/>
  <c r="F86" i="13"/>
  <c r="G86" i="13"/>
  <c r="H86" i="13"/>
  <c r="I86" i="13"/>
  <c r="J86" i="13"/>
  <c r="K86" i="13"/>
  <c r="L86" i="13"/>
  <c r="D86" i="13"/>
  <c r="E32" i="13"/>
  <c r="F32" i="13"/>
  <c r="G32" i="13"/>
  <c r="H32" i="13"/>
  <c r="I32" i="13"/>
  <c r="J32" i="13"/>
  <c r="K32" i="13"/>
  <c r="L32" i="13"/>
  <c r="D32" i="13"/>
  <c r="I47" i="13"/>
  <c r="J47" i="13"/>
  <c r="I48" i="13"/>
  <c r="J48" i="13"/>
  <c r="I49" i="13"/>
  <c r="J49" i="13"/>
  <c r="I50" i="13"/>
  <c r="J50" i="13"/>
  <c r="I51" i="13"/>
  <c r="J51" i="13"/>
  <c r="I40" i="13"/>
  <c r="J40" i="13"/>
  <c r="K40" i="13"/>
  <c r="I41" i="13"/>
  <c r="J41" i="13"/>
  <c r="K41" i="13"/>
  <c r="I42" i="13"/>
  <c r="J42" i="13"/>
  <c r="K42" i="13"/>
  <c r="I43" i="13"/>
  <c r="J43" i="13"/>
  <c r="K43" i="13"/>
  <c r="I44" i="13"/>
  <c r="J44" i="13"/>
  <c r="K44" i="13"/>
  <c r="I31" i="13"/>
  <c r="I85" i="13" s="1"/>
  <c r="J31" i="13"/>
  <c r="J56" i="13" s="1"/>
  <c r="I33" i="13"/>
  <c r="J33" i="13"/>
  <c r="K33" i="13"/>
  <c r="I34" i="13"/>
  <c r="J34" i="13"/>
  <c r="K34" i="13"/>
  <c r="I35" i="13"/>
  <c r="J35" i="13"/>
  <c r="K35" i="13"/>
  <c r="I36" i="13"/>
  <c r="J36" i="13"/>
  <c r="K36" i="13"/>
  <c r="I37" i="13"/>
  <c r="J37" i="13"/>
  <c r="K37" i="13"/>
  <c r="J12" i="13"/>
  <c r="J114" i="13" s="1"/>
  <c r="J13" i="13"/>
  <c r="J115" i="13" s="1"/>
  <c r="K13" i="13"/>
  <c r="K115" i="13" s="1"/>
  <c r="I13" i="13"/>
  <c r="I115" i="13" s="1"/>
  <c r="I12" i="13"/>
  <c r="I39" i="13" s="1"/>
  <c r="K4" i="13"/>
  <c r="K106" i="13" s="1"/>
  <c r="E13" i="13"/>
  <c r="E115" i="13" s="1"/>
  <c r="F13" i="13"/>
  <c r="F115" i="13" s="1"/>
  <c r="G13" i="13"/>
  <c r="G115" i="13" s="1"/>
  <c r="H13" i="13"/>
  <c r="H115" i="13" s="1"/>
  <c r="L13" i="13"/>
  <c r="L115" i="13" s="1"/>
  <c r="D13" i="13"/>
  <c r="D115" i="13" s="1"/>
  <c r="E21" i="13"/>
  <c r="E123" i="13" s="1"/>
  <c r="F21" i="13"/>
  <c r="F123" i="13" s="1"/>
  <c r="G21" i="13"/>
  <c r="G123" i="13" s="1"/>
  <c r="H21" i="13"/>
  <c r="H123" i="13" s="1"/>
  <c r="I123" i="13"/>
  <c r="J123" i="13"/>
  <c r="L123" i="13"/>
  <c r="D21" i="13"/>
  <c r="D123" i="13" s="1"/>
  <c r="I46" i="13"/>
  <c r="J46" i="13"/>
  <c r="B84" i="13"/>
  <c r="B83" i="13"/>
  <c r="D82" i="13"/>
  <c r="B55" i="13"/>
  <c r="B54" i="13"/>
  <c r="B51" i="13"/>
  <c r="B50" i="13"/>
  <c r="B59" i="13" s="1"/>
  <c r="B49" i="13"/>
  <c r="B48" i="13"/>
  <c r="B47" i="13"/>
  <c r="B44" i="13"/>
  <c r="B43" i="13"/>
  <c r="B58" i="13" s="1"/>
  <c r="B42" i="13"/>
  <c r="B41" i="13"/>
  <c r="B40" i="13"/>
  <c r="B37" i="13"/>
  <c r="B36" i="13"/>
  <c r="B87" i="13" s="1"/>
  <c r="B35" i="13"/>
  <c r="B34" i="13"/>
  <c r="B33" i="13"/>
  <c r="C31" i="13"/>
  <c r="C85" i="13" s="1"/>
  <c r="B31" i="13"/>
  <c r="B85" i="13" s="1"/>
  <c r="B29" i="13"/>
  <c r="L26" i="13"/>
  <c r="L51" i="13" s="1"/>
  <c r="H26" i="13"/>
  <c r="H51" i="13" s="1"/>
  <c r="G26" i="13"/>
  <c r="G51" i="13" s="1"/>
  <c r="F26" i="13"/>
  <c r="F51" i="13" s="1"/>
  <c r="E26" i="13"/>
  <c r="E51" i="13" s="1"/>
  <c r="C26" i="13"/>
  <c r="C51" i="13" s="1"/>
  <c r="L25" i="13"/>
  <c r="L50" i="13" s="1"/>
  <c r="H25" i="13"/>
  <c r="G25" i="13"/>
  <c r="F25" i="13"/>
  <c r="F50" i="13" s="1"/>
  <c r="E25" i="13"/>
  <c r="E50" i="13" s="1"/>
  <c r="D25" i="13"/>
  <c r="C25" i="13"/>
  <c r="I59" i="13" s="1"/>
  <c r="L24" i="13"/>
  <c r="L49" i="13" s="1"/>
  <c r="H24" i="13"/>
  <c r="H49" i="13" s="1"/>
  <c r="G24" i="13"/>
  <c r="G49" i="13" s="1"/>
  <c r="F24" i="13"/>
  <c r="F49" i="13" s="1"/>
  <c r="E24" i="13"/>
  <c r="E49" i="13" s="1"/>
  <c r="D24" i="13"/>
  <c r="D49" i="13" s="1"/>
  <c r="C24" i="13"/>
  <c r="C49" i="13" s="1"/>
  <c r="L23" i="13"/>
  <c r="L48" i="13" s="1"/>
  <c r="H23" i="13"/>
  <c r="H48" i="13" s="1"/>
  <c r="G23" i="13"/>
  <c r="G48" i="13" s="1"/>
  <c r="F23" i="13"/>
  <c r="F48" i="13" s="1"/>
  <c r="E23" i="13"/>
  <c r="E48" i="13" s="1"/>
  <c r="D23" i="13"/>
  <c r="D48" i="13" s="1"/>
  <c r="C23" i="13"/>
  <c r="C48" i="13" s="1"/>
  <c r="L22" i="13"/>
  <c r="L47" i="13" s="1"/>
  <c r="H22" i="13"/>
  <c r="H47" i="13" s="1"/>
  <c r="G22" i="13"/>
  <c r="G47" i="13" s="1"/>
  <c r="F22" i="13"/>
  <c r="F47" i="13" s="1"/>
  <c r="E22" i="13"/>
  <c r="E47" i="13" s="1"/>
  <c r="D22" i="13"/>
  <c r="D47" i="13" s="1"/>
  <c r="C22" i="13"/>
  <c r="C47" i="13" s="1"/>
  <c r="H20" i="13"/>
  <c r="H46" i="13" s="1"/>
  <c r="G20" i="13"/>
  <c r="G46" i="13" s="1"/>
  <c r="F20" i="13"/>
  <c r="F46" i="13" s="1"/>
  <c r="E20" i="13"/>
  <c r="E46" i="13" s="1"/>
  <c r="D20" i="13"/>
  <c r="D46" i="13" s="1"/>
  <c r="C20" i="13"/>
  <c r="C46" i="13" s="1"/>
  <c r="B20" i="13"/>
  <c r="B122" i="13" s="1"/>
  <c r="L18" i="13"/>
  <c r="L44" i="13" s="1"/>
  <c r="H18" i="13"/>
  <c r="H44" i="13" s="1"/>
  <c r="G18" i="13"/>
  <c r="G44" i="13" s="1"/>
  <c r="F18" i="13"/>
  <c r="F44" i="13" s="1"/>
  <c r="E18" i="13"/>
  <c r="E44" i="13" s="1"/>
  <c r="C18" i="13"/>
  <c r="C44" i="13" s="1"/>
  <c r="L17" i="13"/>
  <c r="L43" i="13" s="1"/>
  <c r="H17" i="13"/>
  <c r="H99" i="13" s="1"/>
  <c r="G17" i="13"/>
  <c r="F17" i="13"/>
  <c r="F99" i="13" s="1"/>
  <c r="E17" i="13"/>
  <c r="D17" i="13"/>
  <c r="D99" i="13" s="1"/>
  <c r="C17" i="13"/>
  <c r="C43" i="13" s="1"/>
  <c r="L16" i="13"/>
  <c r="L42" i="13" s="1"/>
  <c r="H16" i="13"/>
  <c r="H42" i="13" s="1"/>
  <c r="G16" i="13"/>
  <c r="G42" i="13" s="1"/>
  <c r="F16" i="13"/>
  <c r="F42" i="13" s="1"/>
  <c r="E16" i="13"/>
  <c r="E42" i="13" s="1"/>
  <c r="D16" i="13"/>
  <c r="D42" i="13" s="1"/>
  <c r="C16" i="13"/>
  <c r="C42" i="13" s="1"/>
  <c r="L15" i="13"/>
  <c r="L41" i="13" s="1"/>
  <c r="H15" i="13"/>
  <c r="H41" i="13" s="1"/>
  <c r="G15" i="13"/>
  <c r="G41" i="13" s="1"/>
  <c r="F15" i="13"/>
  <c r="F41" i="13" s="1"/>
  <c r="E15" i="13"/>
  <c r="E41" i="13" s="1"/>
  <c r="D15" i="13"/>
  <c r="D41" i="13" s="1"/>
  <c r="C15" i="13"/>
  <c r="C41" i="13" s="1"/>
  <c r="L14" i="13"/>
  <c r="L40" i="13" s="1"/>
  <c r="H14" i="13"/>
  <c r="H40" i="13" s="1"/>
  <c r="G14" i="13"/>
  <c r="G40" i="13" s="1"/>
  <c r="F14" i="13"/>
  <c r="F40" i="13" s="1"/>
  <c r="E14" i="13"/>
  <c r="E40" i="13" s="1"/>
  <c r="D14" i="13"/>
  <c r="D40" i="13" s="1"/>
  <c r="C14" i="13"/>
  <c r="C40" i="13" s="1"/>
  <c r="L12" i="13"/>
  <c r="L39" i="13" s="1"/>
  <c r="G12" i="13"/>
  <c r="G39" i="13" s="1"/>
  <c r="F12" i="13"/>
  <c r="F39" i="13" s="1"/>
  <c r="E12" i="13"/>
  <c r="E39" i="13" s="1"/>
  <c r="D12" i="13"/>
  <c r="D39" i="13" s="1"/>
  <c r="C12" i="13"/>
  <c r="C39" i="13" s="1"/>
  <c r="B12" i="13"/>
  <c r="B39" i="13" s="1"/>
  <c r="L10" i="13"/>
  <c r="L37" i="13" s="1"/>
  <c r="H10" i="13"/>
  <c r="H37" i="13" s="1"/>
  <c r="G10" i="13"/>
  <c r="G37" i="13" s="1"/>
  <c r="F10" i="13"/>
  <c r="F37" i="13" s="1"/>
  <c r="E10" i="13"/>
  <c r="E37" i="13" s="1"/>
  <c r="D10" i="13"/>
  <c r="D37" i="13" s="1"/>
  <c r="C10" i="13"/>
  <c r="C37" i="13" s="1"/>
  <c r="L9" i="13"/>
  <c r="L36" i="13" s="1"/>
  <c r="H9" i="13"/>
  <c r="H98" i="13" s="1"/>
  <c r="G9" i="13"/>
  <c r="G36" i="13" s="1"/>
  <c r="F9" i="13"/>
  <c r="F98" i="13" s="1"/>
  <c r="E9" i="13"/>
  <c r="D9" i="13"/>
  <c r="D36" i="13" s="1"/>
  <c r="C9" i="13"/>
  <c r="C36" i="13" s="1"/>
  <c r="J87" i="13" s="1"/>
  <c r="L8" i="13"/>
  <c r="L35" i="13" s="1"/>
  <c r="H8" i="13"/>
  <c r="H35" i="13" s="1"/>
  <c r="G8" i="13"/>
  <c r="G35" i="13" s="1"/>
  <c r="F8" i="13"/>
  <c r="F35" i="13" s="1"/>
  <c r="E8" i="13"/>
  <c r="E35" i="13" s="1"/>
  <c r="D8" i="13"/>
  <c r="D35" i="13" s="1"/>
  <c r="C8" i="13"/>
  <c r="C35" i="13" s="1"/>
  <c r="L7" i="13"/>
  <c r="L34" i="13" s="1"/>
  <c r="H7" i="13"/>
  <c r="H34" i="13" s="1"/>
  <c r="G7" i="13"/>
  <c r="G34" i="13" s="1"/>
  <c r="F7" i="13"/>
  <c r="F34" i="13" s="1"/>
  <c r="E7" i="13"/>
  <c r="E34" i="13" s="1"/>
  <c r="D7" i="13"/>
  <c r="D34" i="13" s="1"/>
  <c r="C7" i="13"/>
  <c r="C34" i="13" s="1"/>
  <c r="L6" i="13"/>
  <c r="L33" i="13" s="1"/>
  <c r="H6" i="13"/>
  <c r="H33" i="13" s="1"/>
  <c r="G6" i="13"/>
  <c r="G33" i="13" s="1"/>
  <c r="F6" i="13"/>
  <c r="F33" i="13" s="1"/>
  <c r="E6" i="13"/>
  <c r="E33" i="13" s="1"/>
  <c r="D6" i="13"/>
  <c r="D33" i="13" s="1"/>
  <c r="C6" i="13"/>
  <c r="C33" i="13" s="1"/>
  <c r="L4" i="13"/>
  <c r="H4" i="13"/>
  <c r="H31" i="13" s="1"/>
  <c r="G4" i="13"/>
  <c r="G31" i="13" s="1"/>
  <c r="F4" i="13"/>
  <c r="F31" i="13" s="1"/>
  <c r="E4" i="13"/>
  <c r="E31" i="13" s="1"/>
  <c r="D4" i="13"/>
  <c r="D31" i="13" s="1"/>
  <c r="E99" i="13" l="1"/>
  <c r="D100" i="13"/>
  <c r="H100" i="13"/>
  <c r="E98" i="13"/>
  <c r="G99" i="13"/>
  <c r="G100" i="13"/>
  <c r="K98" i="13"/>
  <c r="Q98" i="13" s="1"/>
  <c r="G98" i="13"/>
  <c r="L99" i="13"/>
  <c r="J98" i="13"/>
  <c r="K99" i="13"/>
  <c r="L100" i="13"/>
  <c r="L31" i="13"/>
  <c r="L20" i="13"/>
  <c r="L46" i="13" s="1"/>
  <c r="D98" i="13"/>
  <c r="I98" i="13"/>
  <c r="J99" i="13"/>
  <c r="J100" i="13"/>
  <c r="F100" i="13"/>
  <c r="L98" i="13"/>
  <c r="I99" i="13"/>
  <c r="I100" i="13"/>
  <c r="E100" i="13"/>
  <c r="J39" i="13"/>
  <c r="K12" i="13"/>
  <c r="K114" i="13" s="1"/>
  <c r="I56" i="13"/>
  <c r="C122" i="13"/>
  <c r="I114" i="13"/>
  <c r="B46" i="13"/>
  <c r="B57" i="13"/>
  <c r="C114" i="13"/>
  <c r="K31" i="13"/>
  <c r="J85" i="13"/>
  <c r="B114" i="13"/>
  <c r="C126" i="13"/>
  <c r="J122" i="13"/>
  <c r="F122" i="13"/>
  <c r="C120" i="13"/>
  <c r="C116" i="13"/>
  <c r="F114" i="13"/>
  <c r="C112" i="13"/>
  <c r="C108" i="13"/>
  <c r="F106" i="13"/>
  <c r="J59" i="13"/>
  <c r="C125" i="13"/>
  <c r="I122" i="13"/>
  <c r="E122" i="13"/>
  <c r="C119" i="13"/>
  <c r="E114" i="13"/>
  <c r="C111" i="13"/>
  <c r="E106" i="13"/>
  <c r="I57" i="13"/>
  <c r="I87" i="13"/>
  <c r="C128" i="13"/>
  <c r="C124" i="13"/>
  <c r="H122" i="13"/>
  <c r="D122" i="13"/>
  <c r="C118" i="13"/>
  <c r="L114" i="13"/>
  <c r="D114" i="13"/>
  <c r="C110" i="13"/>
  <c r="L106" i="13"/>
  <c r="H106" i="13"/>
  <c r="D106" i="13"/>
  <c r="C127" i="13"/>
  <c r="L122" i="13"/>
  <c r="G122" i="13"/>
  <c r="C117" i="13"/>
  <c r="G114" i="13"/>
  <c r="C109" i="13"/>
  <c r="G106" i="13"/>
  <c r="K57" i="13"/>
  <c r="K87" i="13"/>
  <c r="J58" i="13"/>
  <c r="I58" i="13"/>
  <c r="I88" i="13"/>
  <c r="K58" i="13"/>
  <c r="J57" i="13"/>
  <c r="H12" i="13"/>
  <c r="F57" i="13"/>
  <c r="H57" i="13"/>
  <c r="E58" i="13"/>
  <c r="L59" i="13"/>
  <c r="E57" i="13"/>
  <c r="B89" i="13"/>
  <c r="B88" i="13"/>
  <c r="D58" i="13"/>
  <c r="H58" i="13"/>
  <c r="F58" i="13"/>
  <c r="G58" i="13"/>
  <c r="D43" i="13"/>
  <c r="G57" i="13"/>
  <c r="G59" i="13"/>
  <c r="H43" i="13"/>
  <c r="D59" i="13"/>
  <c r="H59" i="13"/>
  <c r="G85" i="13"/>
  <c r="G96" i="13" s="1"/>
  <c r="G56" i="13"/>
  <c r="H85" i="13"/>
  <c r="H96" i="13" s="1"/>
  <c r="H56" i="13"/>
  <c r="F85" i="13"/>
  <c r="F96" i="13" s="1"/>
  <c r="F56" i="13"/>
  <c r="G87" i="13"/>
  <c r="D85" i="13"/>
  <c r="D96" i="13" s="1"/>
  <c r="D56" i="13"/>
  <c r="E85" i="13"/>
  <c r="E96" i="13" s="1"/>
  <c r="E56" i="13"/>
  <c r="L85" i="13"/>
  <c r="L96" i="13" s="1"/>
  <c r="L56" i="13"/>
  <c r="L87" i="13"/>
  <c r="H36" i="13"/>
  <c r="E36" i="13"/>
  <c r="E43" i="13"/>
  <c r="D57" i="13"/>
  <c r="L58" i="13"/>
  <c r="F59" i="13"/>
  <c r="D87" i="13"/>
  <c r="K88" i="13"/>
  <c r="F36" i="13"/>
  <c r="F43" i="13"/>
  <c r="C50" i="13"/>
  <c r="G50" i="13"/>
  <c r="L57" i="13"/>
  <c r="E59" i="13"/>
  <c r="G43" i="13"/>
  <c r="D50" i="13"/>
  <c r="H50" i="13"/>
  <c r="B80" i="10"/>
  <c r="B79" i="10"/>
  <c r="C83" i="10"/>
  <c r="C84" i="10"/>
  <c r="C82" i="10"/>
  <c r="D78" i="10"/>
  <c r="B84" i="10"/>
  <c r="B83" i="10"/>
  <c r="B82" i="10"/>
  <c r="C81" i="10"/>
  <c r="B81" i="10"/>
  <c r="K39" i="13" l="1"/>
  <c r="K56" i="13"/>
  <c r="K85" i="13"/>
  <c r="H39" i="13"/>
  <c r="H114" i="13"/>
  <c r="F109" i="13"/>
  <c r="J109" i="13"/>
  <c r="G109" i="13"/>
  <c r="K109" i="13"/>
  <c r="D109" i="13"/>
  <c r="H109" i="13"/>
  <c r="L109" i="13"/>
  <c r="E109" i="13"/>
  <c r="I109" i="13"/>
  <c r="E118" i="13"/>
  <c r="I118" i="13"/>
  <c r="F118" i="13"/>
  <c r="J118" i="13"/>
  <c r="G118" i="13"/>
  <c r="K118" i="13"/>
  <c r="D118" i="13"/>
  <c r="H118" i="13"/>
  <c r="L118" i="13"/>
  <c r="F128" i="13"/>
  <c r="J128" i="13"/>
  <c r="Q128" i="13" s="1"/>
  <c r="G128" i="13"/>
  <c r="L128" i="13"/>
  <c r="H128" i="13"/>
  <c r="E128" i="13"/>
  <c r="I128" i="13"/>
  <c r="D111" i="13"/>
  <c r="H111" i="13"/>
  <c r="L111" i="13"/>
  <c r="E111" i="13"/>
  <c r="I111" i="13"/>
  <c r="F111" i="13"/>
  <c r="J111" i="13"/>
  <c r="G111" i="13"/>
  <c r="K111" i="13"/>
  <c r="G108" i="13"/>
  <c r="K108" i="13"/>
  <c r="H108" i="13"/>
  <c r="L108" i="13"/>
  <c r="E108" i="13"/>
  <c r="I108" i="13"/>
  <c r="D108" i="13"/>
  <c r="F108" i="13"/>
  <c r="J108" i="13"/>
  <c r="H120" i="13"/>
  <c r="L120" i="13"/>
  <c r="E120" i="13"/>
  <c r="I120" i="13"/>
  <c r="F120" i="13"/>
  <c r="J120" i="13"/>
  <c r="Q120" i="13" s="1"/>
  <c r="G120" i="13"/>
  <c r="K120" i="13"/>
  <c r="E127" i="13"/>
  <c r="I127" i="13"/>
  <c r="F127" i="13"/>
  <c r="J127" i="13"/>
  <c r="G127" i="13"/>
  <c r="L127" i="13"/>
  <c r="D127" i="13"/>
  <c r="H127" i="13"/>
  <c r="E110" i="13"/>
  <c r="I110" i="13"/>
  <c r="F110" i="13"/>
  <c r="J110" i="13"/>
  <c r="G110" i="13"/>
  <c r="K110" i="13"/>
  <c r="D110" i="13"/>
  <c r="H110" i="13"/>
  <c r="L110" i="13"/>
  <c r="E125" i="13"/>
  <c r="I125" i="13"/>
  <c r="F125" i="13"/>
  <c r="J125" i="13"/>
  <c r="G125" i="13"/>
  <c r="L125" i="13"/>
  <c r="D125" i="13"/>
  <c r="H125" i="13"/>
  <c r="G112" i="13"/>
  <c r="K112" i="13"/>
  <c r="Q112" i="13" s="1"/>
  <c r="D112" i="13"/>
  <c r="H112" i="13"/>
  <c r="L112" i="13"/>
  <c r="E112" i="13"/>
  <c r="I112" i="13"/>
  <c r="F112" i="13"/>
  <c r="J112" i="13"/>
  <c r="F117" i="13"/>
  <c r="J117" i="13"/>
  <c r="G117" i="13"/>
  <c r="K117" i="13"/>
  <c r="D117" i="13"/>
  <c r="H117" i="13"/>
  <c r="L117" i="13"/>
  <c r="E117" i="13"/>
  <c r="I117" i="13"/>
  <c r="D119" i="13"/>
  <c r="H119" i="13"/>
  <c r="L119" i="13"/>
  <c r="E119" i="13"/>
  <c r="I119" i="13"/>
  <c r="F119" i="13"/>
  <c r="J119" i="13"/>
  <c r="G119" i="13"/>
  <c r="K119" i="13"/>
  <c r="G124" i="13"/>
  <c r="L124" i="13"/>
  <c r="H124" i="13"/>
  <c r="D124" i="13"/>
  <c r="E124" i="13"/>
  <c r="I124" i="13"/>
  <c r="F124" i="13"/>
  <c r="J124" i="13"/>
  <c r="H116" i="13"/>
  <c r="L116" i="13"/>
  <c r="E116" i="13"/>
  <c r="I116" i="13"/>
  <c r="D116" i="13"/>
  <c r="F116" i="13"/>
  <c r="J116" i="13"/>
  <c r="G116" i="13"/>
  <c r="K116" i="13"/>
  <c r="E126" i="13"/>
  <c r="I126" i="13"/>
  <c r="F126" i="13"/>
  <c r="J126" i="13"/>
  <c r="G126" i="13"/>
  <c r="L126" i="13"/>
  <c r="D126" i="13"/>
  <c r="H126" i="13"/>
  <c r="J88" i="13"/>
  <c r="F89" i="13"/>
  <c r="I89" i="13"/>
  <c r="J89" i="13"/>
  <c r="D88" i="13"/>
  <c r="L89" i="13"/>
  <c r="D89" i="13"/>
  <c r="G89" i="13"/>
  <c r="G88" i="13"/>
  <c r="E88" i="13"/>
  <c r="F88" i="13"/>
  <c r="E87" i="13"/>
  <c r="L88" i="13"/>
  <c r="E89" i="13"/>
  <c r="H88" i="13"/>
  <c r="H89" i="13"/>
  <c r="F87" i="13"/>
  <c r="H87" i="13"/>
  <c r="B51" i="10"/>
  <c r="B50" i="10"/>
  <c r="B26" i="10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O5" i="12"/>
  <c r="P5" i="12"/>
  <c r="Q5" i="12"/>
  <c r="R5" i="12"/>
  <c r="S5" i="12"/>
  <c r="N5" i="12"/>
  <c r="F55" i="10" l="1"/>
  <c r="H55" i="10"/>
  <c r="D55" i="10"/>
  <c r="B55" i="10"/>
  <c r="B54" i="10"/>
  <c r="B53" i="10"/>
  <c r="B30" i="10"/>
  <c r="F30" i="10"/>
  <c r="H30" i="10"/>
  <c r="B31" i="10"/>
  <c r="D31" i="10"/>
  <c r="F31" i="10"/>
  <c r="B32" i="10"/>
  <c r="F32" i="10"/>
  <c r="H32" i="10"/>
  <c r="B33" i="10"/>
  <c r="D33" i="10"/>
  <c r="B35" i="10"/>
  <c r="C35" i="10"/>
  <c r="B36" i="10"/>
  <c r="D36" i="10"/>
  <c r="H36" i="10"/>
  <c r="B37" i="10"/>
  <c r="H37" i="10"/>
  <c r="B38" i="10"/>
  <c r="D38" i="10"/>
  <c r="F38" i="10"/>
  <c r="B39" i="10"/>
  <c r="D39" i="10"/>
  <c r="H39" i="10"/>
  <c r="B40" i="10"/>
  <c r="E40" i="10"/>
  <c r="G40" i="10"/>
  <c r="I40" i="10"/>
  <c r="B42" i="10"/>
  <c r="C42" i="10"/>
  <c r="B43" i="10"/>
  <c r="C43" i="10"/>
  <c r="B44" i="10"/>
  <c r="C44" i="10"/>
  <c r="B45" i="10"/>
  <c r="E45" i="10"/>
  <c r="G45" i="10"/>
  <c r="I45" i="10"/>
  <c r="B46" i="10"/>
  <c r="C46" i="10"/>
  <c r="G46" i="10"/>
  <c r="G84" i="10" s="1"/>
  <c r="B47" i="10"/>
  <c r="C47" i="10"/>
  <c r="H47" i="10"/>
  <c r="E29" i="10"/>
  <c r="C29" i="10"/>
  <c r="B29" i="10"/>
  <c r="C28" i="10"/>
  <c r="B28" i="10"/>
  <c r="B18" i="10"/>
  <c r="B11" i="10"/>
  <c r="C18" i="10"/>
  <c r="C11" i="10"/>
  <c r="I20" i="10"/>
  <c r="I44" i="10" s="1"/>
  <c r="I21" i="10"/>
  <c r="I22" i="10"/>
  <c r="I46" i="10" s="1"/>
  <c r="I84" i="10" s="1"/>
  <c r="I23" i="10"/>
  <c r="I47" i="10" s="1"/>
  <c r="I19" i="10"/>
  <c r="I43" i="10" s="1"/>
  <c r="H20" i="10"/>
  <c r="H44" i="10" s="1"/>
  <c r="H21" i="10"/>
  <c r="H45" i="10" s="1"/>
  <c r="H22" i="10"/>
  <c r="H46" i="10" s="1"/>
  <c r="H84" i="10" s="1"/>
  <c r="H23" i="10"/>
  <c r="H19" i="10"/>
  <c r="H43" i="10" s="1"/>
  <c r="G20" i="10"/>
  <c r="G44" i="10" s="1"/>
  <c r="G21" i="10"/>
  <c r="G22" i="10"/>
  <c r="G55" i="10" s="1"/>
  <c r="G23" i="10"/>
  <c r="G47" i="10" s="1"/>
  <c r="G19" i="10"/>
  <c r="G43" i="10" s="1"/>
  <c r="F20" i="10"/>
  <c r="F44" i="10" s="1"/>
  <c r="F21" i="10"/>
  <c r="F45" i="10" s="1"/>
  <c r="F22" i="10"/>
  <c r="F46" i="10" s="1"/>
  <c r="F84" i="10" s="1"/>
  <c r="F23" i="10"/>
  <c r="F47" i="10" s="1"/>
  <c r="F19" i="10"/>
  <c r="F43" i="10" s="1"/>
  <c r="E20" i="10"/>
  <c r="E44" i="10" s="1"/>
  <c r="E21" i="10"/>
  <c r="E22" i="10"/>
  <c r="E46" i="10" s="1"/>
  <c r="E84" i="10" s="1"/>
  <c r="E23" i="10"/>
  <c r="E47" i="10" s="1"/>
  <c r="E19" i="10"/>
  <c r="E43" i="10" s="1"/>
  <c r="D20" i="10"/>
  <c r="D44" i="10" s="1"/>
  <c r="D21" i="10"/>
  <c r="D45" i="10" s="1"/>
  <c r="D22" i="10"/>
  <c r="D46" i="10" s="1"/>
  <c r="D84" i="10" s="1"/>
  <c r="D19" i="10"/>
  <c r="D43" i="10" s="1"/>
  <c r="C20" i="10"/>
  <c r="C21" i="10"/>
  <c r="C45" i="10" s="1"/>
  <c r="C22" i="10"/>
  <c r="C23" i="10"/>
  <c r="C19" i="10"/>
  <c r="I18" i="10"/>
  <c r="I42" i="10" s="1"/>
  <c r="H18" i="10"/>
  <c r="H42" i="10" s="1"/>
  <c r="G18" i="10"/>
  <c r="G42" i="10" s="1"/>
  <c r="F18" i="10"/>
  <c r="F42" i="10" s="1"/>
  <c r="E18" i="10"/>
  <c r="E42" i="10" s="1"/>
  <c r="D18" i="10"/>
  <c r="D42" i="10" s="1"/>
  <c r="I13" i="10"/>
  <c r="I37" i="10" s="1"/>
  <c r="I14" i="10"/>
  <c r="I38" i="10" s="1"/>
  <c r="I15" i="10"/>
  <c r="I39" i="10" s="1"/>
  <c r="I16" i="10"/>
  <c r="I12" i="10"/>
  <c r="I36" i="10" s="1"/>
  <c r="H13" i="10"/>
  <c r="H14" i="10"/>
  <c r="H38" i="10" s="1"/>
  <c r="H15" i="10"/>
  <c r="H54" i="10" s="1"/>
  <c r="H16" i="10"/>
  <c r="H40" i="10" s="1"/>
  <c r="H12" i="10"/>
  <c r="G13" i="10"/>
  <c r="G37" i="10" s="1"/>
  <c r="G14" i="10"/>
  <c r="G38" i="10" s="1"/>
  <c r="G15" i="10"/>
  <c r="G39" i="10" s="1"/>
  <c r="G16" i="10"/>
  <c r="G12" i="10"/>
  <c r="G36" i="10" s="1"/>
  <c r="F6" i="10"/>
  <c r="F7" i="10"/>
  <c r="F8" i="10"/>
  <c r="F9" i="10"/>
  <c r="F33" i="10" s="1"/>
  <c r="F5" i="10"/>
  <c r="F29" i="10" s="1"/>
  <c r="F13" i="10"/>
  <c r="F37" i="10" s="1"/>
  <c r="F14" i="10"/>
  <c r="F15" i="10"/>
  <c r="F39" i="10" s="1"/>
  <c r="F16" i="10"/>
  <c r="F40" i="10" s="1"/>
  <c r="F12" i="10"/>
  <c r="F36" i="10" s="1"/>
  <c r="E13" i="10"/>
  <c r="E37" i="10" s="1"/>
  <c r="E14" i="10"/>
  <c r="E38" i="10" s="1"/>
  <c r="E15" i="10"/>
  <c r="E39" i="10" s="1"/>
  <c r="E16" i="10"/>
  <c r="E12" i="10"/>
  <c r="E36" i="10" s="1"/>
  <c r="D13" i="10"/>
  <c r="D37" i="10" s="1"/>
  <c r="D14" i="10"/>
  <c r="D15" i="10"/>
  <c r="D54" i="10" s="1"/>
  <c r="D12" i="10"/>
  <c r="C13" i="10"/>
  <c r="C37" i="10" s="1"/>
  <c r="C14" i="10"/>
  <c r="C38" i="10" s="1"/>
  <c r="C15" i="10"/>
  <c r="E54" i="10" s="1"/>
  <c r="C16" i="10"/>
  <c r="C40" i="10" s="1"/>
  <c r="C12" i="10"/>
  <c r="C36" i="10" s="1"/>
  <c r="C5" i="10"/>
  <c r="C6" i="10"/>
  <c r="C30" i="10" s="1"/>
  <c r="C7" i="10"/>
  <c r="C31" i="10" s="1"/>
  <c r="C8" i="10"/>
  <c r="C32" i="10" s="1"/>
  <c r="C9" i="10"/>
  <c r="C33" i="10" s="1"/>
  <c r="I11" i="10"/>
  <c r="I35" i="10" s="1"/>
  <c r="H11" i="10"/>
  <c r="H35" i="10" s="1"/>
  <c r="G11" i="10"/>
  <c r="G35" i="10" s="1"/>
  <c r="F11" i="10"/>
  <c r="F35" i="10" s="1"/>
  <c r="E11" i="10"/>
  <c r="E35" i="10" s="1"/>
  <c r="D11" i="10"/>
  <c r="D35" i="10" s="1"/>
  <c r="I4" i="10"/>
  <c r="I28" i="10" s="1"/>
  <c r="H4" i="10"/>
  <c r="H28" i="10" s="1"/>
  <c r="G4" i="10"/>
  <c r="G28" i="10" s="1"/>
  <c r="F4" i="10"/>
  <c r="F28" i="10" s="1"/>
  <c r="E4" i="10"/>
  <c r="E28" i="10" s="1"/>
  <c r="D4" i="10"/>
  <c r="D28" i="10" s="1"/>
  <c r="I6" i="10"/>
  <c r="I30" i="10" s="1"/>
  <c r="I7" i="10"/>
  <c r="I31" i="10" s="1"/>
  <c r="I8" i="10"/>
  <c r="I53" i="10" s="1"/>
  <c r="I9" i="10"/>
  <c r="I33" i="10" s="1"/>
  <c r="I5" i="10"/>
  <c r="I29" i="10" s="1"/>
  <c r="H6" i="10"/>
  <c r="H7" i="10"/>
  <c r="H31" i="10" s="1"/>
  <c r="H8" i="10"/>
  <c r="H9" i="10"/>
  <c r="H33" i="10" s="1"/>
  <c r="H5" i="10"/>
  <c r="H29" i="10" s="1"/>
  <c r="G6" i="10"/>
  <c r="G30" i="10" s="1"/>
  <c r="G7" i="10"/>
  <c r="G31" i="10" s="1"/>
  <c r="G8" i="10"/>
  <c r="G32" i="10" s="1"/>
  <c r="G82" i="10" s="1"/>
  <c r="G9" i="10"/>
  <c r="G33" i="10" s="1"/>
  <c r="G5" i="10"/>
  <c r="G29" i="10" s="1"/>
  <c r="E6" i="10"/>
  <c r="E30" i="10" s="1"/>
  <c r="E7" i="10"/>
  <c r="E31" i="10" s="1"/>
  <c r="E8" i="10"/>
  <c r="E53" i="10" s="1"/>
  <c r="E9" i="10"/>
  <c r="E33" i="10" s="1"/>
  <c r="E5" i="10"/>
  <c r="D6" i="10"/>
  <c r="D30" i="10" s="1"/>
  <c r="D7" i="10"/>
  <c r="D8" i="10"/>
  <c r="D53" i="10" s="1"/>
  <c r="D9" i="10"/>
  <c r="D5" i="10"/>
  <c r="D29" i="10" s="1"/>
  <c r="G81" i="10" l="1"/>
  <c r="G52" i="10"/>
  <c r="G83" i="10"/>
  <c r="D81" i="10"/>
  <c r="D52" i="10"/>
  <c r="E81" i="10"/>
  <c r="E52" i="10"/>
  <c r="I81" i="10"/>
  <c r="I52" i="10"/>
  <c r="I83" i="10"/>
  <c r="H81" i="10"/>
  <c r="H52" i="10"/>
  <c r="F81" i="10"/>
  <c r="F52" i="10"/>
  <c r="H83" i="10"/>
  <c r="F82" i="10"/>
  <c r="G54" i="10"/>
  <c r="H53" i="10"/>
  <c r="C39" i="10"/>
  <c r="F83" i="10" s="1"/>
  <c r="I32" i="10"/>
  <c r="I82" i="10" s="1"/>
  <c r="E32" i="10"/>
  <c r="E82" i="10" s="1"/>
  <c r="I55" i="10"/>
  <c r="E55" i="10"/>
  <c r="F54" i="10"/>
  <c r="G53" i="10"/>
  <c r="H82" i="10"/>
  <c r="D32" i="10"/>
  <c r="D82" i="10" s="1"/>
  <c r="I54" i="10"/>
  <c r="F53" i="10"/>
  <c r="Q24" i="3"/>
  <c r="Q25" i="3"/>
  <c r="Q26" i="3"/>
  <c r="Q27" i="3"/>
  <c r="Q28" i="3"/>
  <c r="Q29" i="3"/>
  <c r="Q30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D83" i="10" l="1"/>
  <c r="E83" i="10"/>
  <c r="E93" i="3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O31" i="3" l="1"/>
  <c r="P31" i="3"/>
  <c r="L31" i="3"/>
  <c r="M31" i="3"/>
  <c r="K31" i="3"/>
  <c r="Q31" i="3"/>
  <c r="N31" i="3"/>
  <c r="G92" i="3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<sst xmlns="http://schemas.openxmlformats.org/spreadsheetml/2006/main" count="364" uniqueCount="154">
  <si>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</si>
  <si>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</si>
  <si>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</si>
  <si>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</si>
  <si>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</si>
  <si>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</si>
  <si>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</si>
  <si>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</si>
  <si>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</si>
  <si>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</si>
  <si>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</si>
  <si>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</si>
  <si>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</si>
  <si>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</si>
  <si>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</si>
  <si>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</si>
  <si>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</si>
  <si>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</si>
  <si>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</si>
  <si>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</si>
  <si>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</si>
  <si>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</si>
  <si>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</si>
  <si>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</si>
  <si>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</si>
  <si>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</si>
  <si>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</si>
  <si>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</si>
  <si>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</si>
  <si>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</si>
  <si>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</si>
  <si>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</si>
  <si>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</si>
  <si>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</si>
  <si>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</si>
  <si>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</si>
  <si>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</si>
  <si>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</si>
  <si>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</si>
  <si>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</si>
  <si>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</si>
  <si>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</si>
  <si>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</si>
  <si>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</si>
  <si>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</si>
  <si>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</si>
  <si>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</si>
  <si>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</si>
  <si>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</si>
  <si>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</si>
  <si>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</si>
  <si>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</si>
  <si>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</si>
  <si>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</si>
  <si>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</si>
  <si>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</si>
  <si>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</si>
  <si>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</si>
  <si>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</si>
  <si>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</si>
  <si>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</si>
  <si>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</si>
  <si>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</si>
  <si>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</si>
  <si>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</si>
  <si>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</si>
  <si>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</si>
  <si>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</si>
  <si>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</si>
  <si>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</si>
  <si>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</si>
  <si>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</si>
  <si>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</si>
  <si>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</si>
  <si>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</si>
  <si>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</si>
  <si>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</si>
  <si>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</si>
  <si>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</si>
  <si>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</si>
  <si>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</si>
  <si>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</si>
  <si>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</si>
  <si>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</si>
  <si>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</si>
  <si>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</si>
  <si>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</si>
  <si>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</si>
  <si>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</si>
  <si>
    <t>Type</t>
  </si>
  <si>
    <t>Int16</t>
  </si>
  <si>
    <t>Int32</t>
  </si>
  <si>
    <t>Float32</t>
  </si>
  <si>
    <t>Inputs</t>
  </si>
  <si>
    <t>N of FIR</t>
  </si>
  <si>
    <t>FIR Performance (Naïve C Implementation)</t>
  </si>
  <si>
    <t>Time to Complete FIR (microseconds, smaller is better)</t>
  </si>
  <si>
    <t>Res (Hz)</t>
  </si>
  <si>
    <t>Max Sample Rate (Hz) with FIR at Given Resolution (Bigger is Better)</t>
  </si>
  <si>
    <t>Arduino</t>
  </si>
  <si>
    <t>NXP</t>
  </si>
  <si>
    <t>AVR</t>
  </si>
  <si>
    <t>96 MHz</t>
  </si>
  <si>
    <t>Brand</t>
  </si>
  <si>
    <t>Model</t>
  </si>
  <si>
    <t>Core</t>
  </si>
  <si>
    <t>RAM</t>
  </si>
  <si>
    <t>8-bit</t>
  </si>
  <si>
    <t>32-bit</t>
  </si>
  <si>
    <t>M0 PRO</t>
  </si>
  <si>
    <t>32 KB</t>
  </si>
  <si>
    <t>2 KB</t>
  </si>
  <si>
    <t>20 KB</t>
  </si>
  <si>
    <t>96 KB</t>
  </si>
  <si>
    <t>64 KB</t>
  </si>
  <si>
    <t>256 KB</t>
  </si>
  <si>
    <t>Clock</t>
  </si>
  <si>
    <t>Width</t>
  </si>
  <si>
    <t>Board</t>
  </si>
  <si>
    <t>Atmel</t>
  </si>
  <si>
    <t>STM</t>
  </si>
  <si>
    <t>MK20DX256</t>
  </si>
  <si>
    <t>SAM3X8E</t>
  </si>
  <si>
    <t>SAMD21G18</t>
  </si>
  <si>
    <t>MEGA328P</t>
  </si>
  <si>
    <t>Microcontroller</t>
  </si>
  <si>
    <t>MK66FN2M0</t>
  </si>
  <si>
    <t>STM32F103</t>
  </si>
  <si>
    <t>FPU</t>
  </si>
  <si>
    <t>No</t>
  </si>
  <si>
    <t>Yes</t>
  </si>
  <si>
    <t>ARM Cortex-M0+</t>
  </si>
  <si>
    <t>ARM Cortex-M3</t>
  </si>
  <si>
    <t>ARM Cortex-M4</t>
  </si>
  <si>
    <t>ARM Cortex-M4F</t>
  </si>
  <si>
    <t>FIR Performance (Naïve C)</t>
  </si>
  <si>
    <t>LeafLabs</t>
  </si>
  <si>
    <t>PJRC</t>
  </si>
  <si>
    <t>FIR Filters Completed per Second (Bigger is Better)</t>
  </si>
  <si>
    <t>Resolution</t>
  </si>
  <si>
    <t>Max Sample Rate (Hz) for FIR Filter of the Given Size  (Bigger is Better)</t>
  </si>
  <si>
    <t>FIR Performance</t>
  </si>
  <si>
    <t>Naïve C</t>
  </si>
  <si>
    <t>Teensy 3.6</t>
  </si>
  <si>
    <t>CMSIS FIR</t>
  </si>
  <si>
    <t>CMSIS FIR Fast</t>
  </si>
  <si>
    <t>MFLOPS</t>
  </si>
  <si>
    <t>FLOPS per N FIR</t>
  </si>
  <si>
    <t>mult and add</t>
  </si>
  <si>
    <t>Number of FIR Filter of the Given Size  (Bigger is Better)</t>
  </si>
  <si>
    <t>Cycles</t>
  </si>
  <si>
    <t>Scaling</t>
  </si>
  <si>
    <t>Cycles/N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</si>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</sst>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/>
    <xf numFmtId="3" fontId="0" fillId="0" borderId="4" xfId="0" applyNumberFormat="1" applyBorder="1" applyAlignment="1"/>
    <xf numFmtId="3" fontId="4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0" fontId="7" fillId="4" borderId="1" xfId="0" applyFont="1" applyFill="1" applyBorder="1"/>
    <xf numFmtId="0" fontId="7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37" fontId="0" fillId="0" borderId="1" xfId="2" applyNumberFormat="1" applyFont="1" applyBorder="1" applyAlignment="1">
      <alignment horizontal="center"/>
    </xf>
    <xf numFmtId="39" fontId="0" fillId="0" borderId="1" xfId="2" applyNumberFormat="1" applyFont="1" applyBorder="1" applyAlignment="1">
      <alignment horizontal="center"/>
    </xf>
    <xf numFmtId="39" fontId="0" fillId="0" borderId="5" xfId="2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/>
    <xf numFmtId="0" fontId="9" fillId="0" borderId="0" xfId="0" applyFont="1" applyFill="1" applyAlignment="1">
      <alignment horizontal="center"/>
    </xf>
    <xf numFmtId="37" fontId="9" fillId="0" borderId="0" xfId="2" applyNumberFormat="1" applyFont="1" applyFill="1" applyBorder="1" applyAlignment="1">
      <alignment horizontal="center"/>
    </xf>
    <xf numFmtId="39" fontId="9" fillId="0" borderId="0" xfId="2" applyNumberFormat="1" applyFont="1" applyFill="1" applyBorder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2" fontId="9" fillId="0" borderId="0" xfId="0" applyNumberFormat="1" applyFont="1" applyFill="1"/>
    <xf numFmtId="0" fontId="8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1" fontId="10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7" fontId="9" fillId="0" borderId="0" xfId="2" applyNumberFormat="1" applyFont="1" applyFill="1" applyBorder="1" applyAlignment="1">
      <alignment horizontal="right"/>
    </xf>
    <xf numFmtId="39" fontId="9" fillId="0" borderId="0" xfId="2" applyNumberFormat="1" applyFont="1" applyFill="1" applyBorder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wARM'!$D$12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wARM'!$D$14:$D$18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wARM'!$E$12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wARM'!$E$14:$E$18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wARM'!$F$12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wARM'!$F$14:$F$18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wARM'!$G$12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wARM'!$G$14:$G$18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wARM'!$H$12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wARM'!$H$14:$H$18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wARM'!$L$12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wARM'!$C$14:$C$18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wARM'!$L$14:$L$18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78528"/>
        <c:axId val="259250432"/>
      </c:lineChart>
      <c:catAx>
        <c:axId val="2566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250432"/>
        <c:crosses val="autoZero"/>
        <c:auto val="1"/>
        <c:lblAlgn val="ctr"/>
        <c:lblOffset val="100"/>
        <c:noMultiLvlLbl val="0"/>
      </c:catAx>
      <c:valAx>
        <c:axId val="259250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5667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  <a:r>
              <a:rPr lang="en-US" sz="1600" baseline="0"/>
              <a:t>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'Pretty Comparison'!$B$8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Comparison'!$D$8:$I$8</c:f>
              <c:numCache>
                <c:formatCode>0.0</c:formatCode>
                <c:ptCount val="6"/>
                <c:pt idx="0">
                  <c:v>308</c:v>
                </c:pt>
                <c:pt idx="1">
                  <c:v>67.55</c:v>
                </c:pt>
                <c:pt idx="2">
                  <c:v>48.53</c:v>
                </c:pt>
                <c:pt idx="3">
                  <c:v>49.21</c:v>
                </c:pt>
                <c:pt idx="4">
                  <c:v>14.85</c:v>
                </c:pt>
                <c:pt idx="5">
                  <c:v>10.7</c:v>
                </c:pt>
              </c:numCache>
            </c:numRef>
          </c:val>
        </c:ser>
        <c:ser>
          <c:idx val="0"/>
          <c:order val="1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ser>
          <c:idx val="1"/>
          <c:order val="2"/>
          <c:tx>
            <c:strRef>
              <c:f>'Pretty Comparison'!$B$22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Comparison'!$D$22:$I$22</c:f>
              <c:numCache>
                <c:formatCode>0.0</c:formatCode>
                <c:ptCount val="6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250.57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34528"/>
        <c:axId val="256332544"/>
      </c:barChart>
      <c:catAx>
        <c:axId val="2341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32544"/>
        <c:crosses val="autoZero"/>
        <c:auto val="1"/>
        <c:lblAlgn val="ctr"/>
        <c:lblOffset val="100"/>
        <c:noMultiLvlLbl val="0"/>
      </c:catAx>
      <c:valAx>
        <c:axId val="256332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41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677311455117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Comparison'!$B$15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Comparison'!$D$11:$I$11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Comparison'!$D$15:$I$15</c:f>
              <c:numCache>
                <c:formatCode>0.0</c:formatCode>
                <c:ptCount val="6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32576"/>
        <c:axId val="259034112"/>
      </c:barChart>
      <c:catAx>
        <c:axId val="259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34112"/>
        <c:crosses val="autoZero"/>
        <c:auto val="1"/>
        <c:lblAlgn val="ctr"/>
        <c:lblOffset val="100"/>
        <c:noMultiLvlLbl val="0"/>
      </c:catAx>
      <c:valAx>
        <c:axId val="259034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9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Sustained 250 Hz FIR Filtering</a:t>
            </a:r>
          </a:p>
          <a:p>
            <a:pPr>
              <a:defRPr sz="1600"/>
            </a:pPr>
            <a:r>
              <a:rPr lang="en-US" sz="1100" b="0"/>
              <a:t>(250 Hz Resolution, Naive C, Bigger</a:t>
            </a:r>
            <a:r>
              <a:rPr lang="en-US" sz="1100" b="0" baseline="0"/>
              <a:t>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Comparison'!$B$54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Comparison'!$D$54:$I$54</c:f>
              <c:numCache>
                <c:formatCode>#,##0</c:formatCode>
                <c:ptCount val="6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58658.846008541317</c:v>
                </c:pt>
              </c:numCache>
            </c:numRef>
          </c:val>
        </c:ser>
        <c:ser>
          <c:idx val="2"/>
          <c:order val="1"/>
          <c:tx>
            <c:strRef>
              <c:f>'Pretty Comparison'!$B$55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'Pretty Comparison'!$D$52:$I$52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Comparison'!$D$55:$I$55</c:f>
              <c:numCache>
                <c:formatCode>#,##0</c:formatCode>
                <c:ptCount val="6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25440"/>
        <c:axId val="263726976"/>
      </c:barChart>
      <c:catAx>
        <c:axId val="2637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26976"/>
        <c:crosses val="autoZero"/>
        <c:auto val="1"/>
        <c:lblAlgn val="ctr"/>
        <c:lblOffset val="100"/>
        <c:noMultiLvlLbl val="0"/>
      </c:catAx>
      <c:valAx>
        <c:axId val="263726976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637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2794338159212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8383014477638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ser>
          <c:idx val="1"/>
          <c:order val="1"/>
          <c:tx>
            <c:strRef>
              <c:f>'Pretty Comparison'!$B$46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7257842122837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117735263685128E-2"/>
                  <c:y val="-3.998000370208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Comparison'!$D$46:$I$46</c:f>
              <c:numCache>
                <c:formatCode>#,##0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92992"/>
        <c:axId val="263894528"/>
      </c:barChart>
      <c:catAx>
        <c:axId val="2638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94528"/>
        <c:crosses val="autoZero"/>
        <c:auto val="1"/>
        <c:lblAlgn val="ctr"/>
        <c:lblOffset val="100"/>
        <c:noMultiLvlLbl val="0"/>
      </c:catAx>
      <c:valAx>
        <c:axId val="2638945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638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Speed</a:t>
            </a:r>
          </a:p>
          <a:p>
            <a:pPr>
              <a:defRPr sz="1600"/>
            </a:pPr>
            <a:r>
              <a:rPr lang="en-US" sz="1100" b="0" baseline="0"/>
              <a:t>(Naive C, Int32, Bigger Values are Better)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Comparison'!$D$36:$D$40</c:f>
              <c:numCache>
                <c:formatCode>#,##0</c:formatCode>
                <c:ptCount val="5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Comparison'!$E$36:$E$40</c:f>
              <c:numCache>
                <c:formatCode>#,##0</c:formatCode>
                <c:ptCount val="5"/>
                <c:pt idx="0">
                  <c:v>92850.510677808736</c:v>
                </c:pt>
                <c:pt idx="1">
                  <c:v>48100.048100048101</c:v>
                </c:pt>
                <c:pt idx="2">
                  <c:v>24491.795248591723</c:v>
                </c:pt>
                <c:pt idx="3">
                  <c:v>12359.411692003461</c:v>
                </c:pt>
                <c:pt idx="4">
                  <c:v>6208.8662610207375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Comparison'!$F$36:$F$40</c:f>
              <c:numCache>
                <c:formatCode>#,##0</c:formatCode>
                <c:ptCount val="5"/>
                <c:pt idx="0">
                  <c:v>180180.18018018018</c:v>
                </c:pt>
                <c:pt idx="1">
                  <c:v>93808.630393996253</c:v>
                </c:pt>
                <c:pt idx="2">
                  <c:v>47824.007651841224</c:v>
                </c:pt>
                <c:pt idx="3">
                  <c:v>24160.425223483933</c:v>
                </c:pt>
                <c:pt idx="4">
                  <c:v>12141.816415735793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Comparison'!$G$36:$G$40</c:f>
              <c:numCache>
                <c:formatCode>#,##0</c:formatCode>
                <c:ptCount val="5"/>
                <c:pt idx="0">
                  <c:v>154083.20493066256</c:v>
                </c:pt>
                <c:pt idx="1">
                  <c:v>79365.079365079364</c:v>
                </c:pt>
                <c:pt idx="2">
                  <c:v>40322.580645161288</c:v>
                </c:pt>
                <c:pt idx="3">
                  <c:v>20321.072952651899</c:v>
                </c:pt>
                <c:pt idx="4">
                  <c:v>10198.878123406426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Comparison'!$H$36:$H$40</c:f>
              <c:numCache>
                <c:formatCode>#,##0</c:formatCode>
                <c:ptCount val="5"/>
                <c:pt idx="0">
                  <c:v>502512.56281407038</c:v>
                </c:pt>
                <c:pt idx="1">
                  <c:v>261780.10471204191</c:v>
                </c:pt>
                <c:pt idx="2">
                  <c:v>133333.33333333334</c:v>
                </c:pt>
                <c:pt idx="3">
                  <c:v>67340.06734006734</c:v>
                </c:pt>
                <c:pt idx="4">
                  <c:v>33840.947546531301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Comparison'!$C$36:$C$40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Comparison'!$I$36:$I$40</c:f>
              <c:numCache>
                <c:formatCode>#,##0</c:formatCode>
                <c:ptCount val="5"/>
                <c:pt idx="0">
                  <c:v>833333.33333333337</c:v>
                </c:pt>
                <c:pt idx="1">
                  <c:v>416666.66666666669</c:v>
                </c:pt>
                <c:pt idx="2">
                  <c:v>212765.95744680849</c:v>
                </c:pt>
                <c:pt idx="3">
                  <c:v>107526.8817204301</c:v>
                </c:pt>
                <c:pt idx="4">
                  <c:v>54054.054054054053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28352"/>
        <c:axId val="232230272"/>
      </c:lineChart>
      <c:catAx>
        <c:axId val="2322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30272"/>
        <c:crosses val="autoZero"/>
        <c:auto val="1"/>
        <c:lblAlgn val="ctr"/>
        <c:lblOffset val="100"/>
        <c:noMultiLvlLbl val="0"/>
      </c:catAx>
      <c:valAx>
        <c:axId val="232230272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Completed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3222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02336"/>
        <c:axId val="232704640"/>
      </c:scatterChart>
      <c:valAx>
        <c:axId val="232702336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04640"/>
        <c:crosses val="autoZero"/>
        <c:crossBetween val="midCat"/>
        <c:majorUnit val="2"/>
      </c:valAx>
      <c:valAx>
        <c:axId val="232704640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702336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864"/>
        <c:axId val="14342400"/>
      </c:barChart>
      <c:catAx>
        <c:axId val="143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2400"/>
        <c:crosses val="autoZero"/>
        <c:auto val="1"/>
        <c:lblAlgn val="ctr"/>
        <c:lblOffset val="100"/>
        <c:noMultiLvlLbl val="0"/>
      </c:catAx>
      <c:valAx>
        <c:axId val="14342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3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7984"/>
        <c:axId val="15259520"/>
      </c:lineChart>
      <c:catAx>
        <c:axId val="152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9520"/>
        <c:crosses val="autoZero"/>
        <c:auto val="1"/>
        <c:lblAlgn val="ctr"/>
        <c:lblOffset val="100"/>
        <c:noMultiLvlLbl val="0"/>
      </c:catAx>
      <c:valAx>
        <c:axId val="15259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2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56896"/>
        <c:axId val="232658432"/>
      </c:barChart>
      <c:catAx>
        <c:axId val="2326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58432"/>
        <c:crosses val="autoZero"/>
        <c:auto val="1"/>
        <c:lblAlgn val="ctr"/>
        <c:lblOffset val="100"/>
        <c:noMultiLvlLbl val="0"/>
      </c:catAx>
      <c:valAx>
        <c:axId val="23265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32656896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4288"/>
        <c:axId val="160130176"/>
      </c:lineChart>
      <c:catAx>
        <c:axId val="160124288"/>
        <c:scaling>
          <c:orientation val="minMax"/>
        </c:scaling>
        <c:delete val="0"/>
        <c:axPos val="b"/>
        <c:majorTickMark val="out"/>
        <c:minorTickMark val="none"/>
        <c:tickLblPos val="low"/>
        <c:crossAx val="160130176"/>
        <c:crosses val="autoZero"/>
        <c:auto val="1"/>
        <c:lblAlgn val="ctr"/>
        <c:lblOffset val="100"/>
        <c:noMultiLvlLbl val="0"/>
      </c:catAx>
      <c:valAx>
        <c:axId val="160130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6012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wARM'!$B$43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wARM'!$D$39:$L$39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wARM'!$D$43:$L$43</c:f>
              <c:numCache>
                <c:formatCode>#,##0</c:formatCode>
                <c:ptCount val="9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116144.01858304298</c:v>
                </c:pt>
                <c:pt idx="6">
                  <c:v>334448.16053511703</c:v>
                </c:pt>
                <c:pt idx="7">
                  <c:v>121506.68286755771</c:v>
                </c:pt>
                <c:pt idx="8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79456"/>
        <c:axId val="263781760"/>
      </c:barChart>
      <c:catAx>
        <c:axId val="2637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81760"/>
        <c:crosses val="autoZero"/>
        <c:auto val="1"/>
        <c:lblAlgn val="ctr"/>
        <c:lblOffset val="100"/>
        <c:noMultiLvlLbl val="0"/>
      </c:catAx>
      <c:valAx>
        <c:axId val="26378176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637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49312"/>
        <c:axId val="161555200"/>
      </c:barChart>
      <c:catAx>
        <c:axId val="1615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55200"/>
        <c:crosses val="autoZero"/>
        <c:auto val="1"/>
        <c:lblAlgn val="ctr"/>
        <c:lblOffset val="100"/>
        <c:noMultiLvlLbl val="0"/>
      </c:catAx>
      <c:valAx>
        <c:axId val="16155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6154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8000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89888"/>
        <c:axId val="161599872"/>
      </c:barChart>
      <c:catAx>
        <c:axId val="1615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99872"/>
        <c:crosses val="autoZero"/>
        <c:auto val="1"/>
        <c:lblAlgn val="ctr"/>
        <c:lblOffset val="100"/>
        <c:noMultiLvlLbl val="0"/>
      </c:catAx>
      <c:valAx>
        <c:axId val="161599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6158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22272"/>
        <c:axId val="161628544"/>
      </c:lineChart>
      <c:catAx>
        <c:axId val="1616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28544"/>
        <c:crosses val="autoZero"/>
        <c:auto val="1"/>
        <c:lblAlgn val="ctr"/>
        <c:lblOffset val="100"/>
        <c:noMultiLvlLbl val="0"/>
      </c:catAx>
      <c:valAx>
        <c:axId val="16162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62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50944"/>
        <c:axId val="161653120"/>
      </c:lineChart>
      <c:catAx>
        <c:axId val="1616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53120"/>
        <c:crosses val="autoZero"/>
        <c:auto val="1"/>
        <c:lblAlgn val="ctr"/>
        <c:lblOffset val="100"/>
        <c:noMultiLvlLbl val="0"/>
      </c:catAx>
      <c:valAx>
        <c:axId val="161653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65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05984"/>
        <c:axId val="165715968"/>
      </c:barChart>
      <c:catAx>
        <c:axId val="1657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15968"/>
        <c:crosses val="autoZero"/>
        <c:auto val="1"/>
        <c:lblAlgn val="ctr"/>
        <c:lblOffset val="100"/>
        <c:noMultiLvlLbl val="0"/>
      </c:catAx>
      <c:valAx>
        <c:axId val="165715968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65705984"/>
        <c:crosses val="autoZero"/>
        <c:crossBetween val="between"/>
        <c:majorUnit val="1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54592"/>
        <c:axId val="227865344"/>
      </c:lineChart>
      <c:catAx>
        <c:axId val="2278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65344"/>
        <c:crosses val="autoZero"/>
        <c:auto val="1"/>
        <c:lblAlgn val="ctr"/>
        <c:lblOffset val="100"/>
        <c:noMultiLvlLbl val="0"/>
      </c:catAx>
      <c:valAx>
        <c:axId val="2278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5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91456"/>
        <c:axId val="227902208"/>
      </c:lineChart>
      <c:catAx>
        <c:axId val="2278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902208"/>
        <c:crosses val="autoZero"/>
        <c:auto val="1"/>
        <c:lblAlgn val="ctr"/>
        <c:lblOffset val="100"/>
        <c:noMultiLvlLbl val="0"/>
      </c:catAx>
      <c:valAx>
        <c:axId val="227902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9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40608"/>
        <c:axId val="227943168"/>
      </c:lineChart>
      <c:catAx>
        <c:axId val="2279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943168"/>
        <c:crosses val="autoZero"/>
        <c:auto val="1"/>
        <c:lblAlgn val="ctr"/>
        <c:lblOffset val="100"/>
        <c:noMultiLvlLbl val="0"/>
      </c:catAx>
      <c:valAx>
        <c:axId val="227943168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940608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94624"/>
        <c:axId val="227997184"/>
      </c:lineChart>
      <c:catAx>
        <c:axId val="2279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997184"/>
        <c:crosses val="autoZero"/>
        <c:auto val="1"/>
        <c:lblAlgn val="ctr"/>
        <c:lblOffset val="100"/>
        <c:noMultiLvlLbl val="0"/>
      </c:catAx>
      <c:valAx>
        <c:axId val="22799718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99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4064"/>
        <c:axId val="228185984"/>
      </c:scatterChart>
      <c:valAx>
        <c:axId val="228184064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28185984"/>
        <c:crosses val="autoZero"/>
        <c:crossBetween val="midCat"/>
        <c:majorUnit val="4"/>
      </c:valAx>
      <c:valAx>
        <c:axId val="228185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Time</a:t>
            </a:r>
            <a:r>
              <a:rPr lang="en-US" sz="1600" baseline="0"/>
              <a:t>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4817309534731993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'Pretty wARM'!$B$9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wARM'!$D$12:$L$12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wARM'!$D$9:$L$9</c:f>
              <c:numCache>
                <c:formatCode>0.0</c:formatCode>
                <c:ptCount val="9"/>
                <c:pt idx="0">
                  <c:v>308</c:v>
                </c:pt>
                <c:pt idx="1">
                  <c:v>67.55</c:v>
                </c:pt>
                <c:pt idx="2">
                  <c:v>48.53</c:v>
                </c:pt>
                <c:pt idx="3">
                  <c:v>49.21</c:v>
                </c:pt>
                <c:pt idx="4">
                  <c:v>14.85</c:v>
                </c:pt>
                <c:pt idx="5">
                  <c:v>9.33</c:v>
                </c:pt>
                <c:pt idx="6">
                  <c:v>5.8</c:v>
                </c:pt>
                <c:pt idx="7">
                  <c:v>1.2</c:v>
                </c:pt>
                <c:pt idx="8">
                  <c:v>10.7</c:v>
                </c:pt>
              </c:numCache>
            </c:numRef>
          </c:val>
        </c:ser>
        <c:ser>
          <c:idx val="0"/>
          <c:order val="1"/>
          <c:tx>
            <c:strRef>
              <c:f>'Pretty wARM'!$B$17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wARM'!$D$12:$L$12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wARM'!$D$17:$L$17</c:f>
              <c:numCache>
                <c:formatCode>0.0</c:formatCode>
                <c:ptCount val="9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8.61</c:v>
                </c:pt>
                <c:pt idx="6">
                  <c:v>2.99</c:v>
                </c:pt>
                <c:pt idx="7">
                  <c:v>8.23</c:v>
                </c:pt>
                <c:pt idx="8">
                  <c:v>9.3000000000000007</c:v>
                </c:pt>
              </c:numCache>
            </c:numRef>
          </c:val>
        </c:ser>
        <c:ser>
          <c:idx val="1"/>
          <c:order val="2"/>
          <c:tx>
            <c:strRef>
              <c:f>'Pretty wARM'!$B$25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wARM'!$D$12:$L$12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wARM'!$D$25:$L$25</c:f>
              <c:numCache>
                <c:formatCode>0.0</c:formatCode>
                <c:ptCount val="9"/>
                <c:pt idx="0">
                  <c:v>2522</c:v>
                </c:pt>
                <c:pt idx="1">
                  <c:v>892.74</c:v>
                </c:pt>
                <c:pt idx="2">
                  <c:v>306.20999999999998</c:v>
                </c:pt>
                <c:pt idx="3">
                  <c:v>286.93</c:v>
                </c:pt>
                <c:pt idx="4">
                  <c:v>250.57</c:v>
                </c:pt>
                <c:pt idx="5">
                  <c:v>11.49</c:v>
                </c:pt>
                <c:pt idx="6">
                  <c:v>2.5299999999999998</c:v>
                </c:pt>
                <c:pt idx="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3424"/>
        <c:axId val="187813888"/>
      </c:barChart>
      <c:catAx>
        <c:axId val="1877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3888"/>
        <c:crosses val="autoZero"/>
        <c:auto val="1"/>
        <c:lblAlgn val="ctr"/>
        <c:lblOffset val="100"/>
        <c:noMultiLvlLbl val="0"/>
      </c:catAx>
      <c:valAx>
        <c:axId val="187813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778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74368"/>
        <c:axId val="227697024"/>
      </c:scatterChart>
      <c:valAx>
        <c:axId val="2276743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697024"/>
        <c:crosses val="autoZero"/>
        <c:crossBetween val="midCat"/>
        <c:majorUnit val="4"/>
      </c:valAx>
      <c:valAx>
        <c:axId val="2276970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2767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</a:t>
            </a:r>
            <a:r>
              <a:rPr lang="en-US" sz="1600" baseline="0"/>
              <a:t> Time, Naive C, N=128</a:t>
            </a:r>
          </a:p>
          <a:p>
            <a:pPr>
              <a:defRPr sz="1600"/>
            </a:pPr>
            <a:r>
              <a:rPr lang="en-US" sz="1100" b="0" baseline="0"/>
              <a:t>(Smaller is Better)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4754886575054"/>
          <c:y val="0.21648123439175887"/>
          <c:w val="0.77527368004476038"/>
          <c:h val="0.5757600885858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'Pretty wARM'!$B$17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wARM'!$D$12:$L$12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wARM'!$D$17:$L$17</c:f>
              <c:numCache>
                <c:formatCode>0.0</c:formatCode>
                <c:ptCount val="9"/>
                <c:pt idx="0">
                  <c:v>1000</c:v>
                </c:pt>
                <c:pt idx="1">
                  <c:v>80.91</c:v>
                </c:pt>
                <c:pt idx="2">
                  <c:v>41.39</c:v>
                </c:pt>
                <c:pt idx="3">
                  <c:v>49.21</c:v>
                </c:pt>
                <c:pt idx="4">
                  <c:v>14.85</c:v>
                </c:pt>
                <c:pt idx="5">
                  <c:v>8.61</c:v>
                </c:pt>
                <c:pt idx="6">
                  <c:v>2.99</c:v>
                </c:pt>
                <c:pt idx="7">
                  <c:v>8.23</c:v>
                </c:pt>
                <c:pt idx="8">
                  <c:v>9.3000000000000007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61248"/>
        <c:axId val="231462784"/>
      </c:barChart>
      <c:catAx>
        <c:axId val="2314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62784"/>
        <c:crosses val="autoZero"/>
        <c:auto val="1"/>
        <c:lblAlgn val="ctr"/>
        <c:lblOffset val="100"/>
        <c:noMultiLvlLbl val="0"/>
      </c:catAx>
      <c:valAx>
        <c:axId val="231462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314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Max</a:t>
            </a:r>
            <a:r>
              <a:rPr lang="en-US" sz="1600" baseline="0"/>
              <a:t> Sample Rate for Sustained 250 Hz FIR Filtering</a:t>
            </a:r>
          </a:p>
          <a:p>
            <a:pPr>
              <a:defRPr sz="1600"/>
            </a:pPr>
            <a:r>
              <a:rPr lang="en-US" sz="1100" b="0"/>
              <a:t>(250 Hz Resolution, Naive C, Bigger</a:t>
            </a:r>
            <a:r>
              <a:rPr lang="en-US" sz="1100" b="0" baseline="0"/>
              <a:t>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'Pretty wARM'!$B$58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'Pretty wARM'!$D$56:$L$56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wARM'!$D$58:$L$58</c:f>
              <c:numCache>
                <c:formatCode>#,##0</c:formatCode>
                <c:ptCount val="9"/>
                <c:pt idx="0">
                  <c:v>5656.8542494923804</c:v>
                </c:pt>
                <c:pt idx="1">
                  <c:v>19887.211321452556</c:v>
                </c:pt>
                <c:pt idx="2">
                  <c:v>27805.280202714839</c:v>
                </c:pt>
                <c:pt idx="3">
                  <c:v>25500.477142297961</c:v>
                </c:pt>
                <c:pt idx="4">
                  <c:v>46420.708254852754</c:v>
                </c:pt>
                <c:pt idx="5">
                  <c:v>60963.994247895011</c:v>
                </c:pt>
                <c:pt idx="6">
                  <c:v>103452.12002237434</c:v>
                </c:pt>
                <c:pt idx="7">
                  <c:v>62355.543873514936</c:v>
                </c:pt>
                <c:pt idx="8">
                  <c:v>58658.846008541317</c:v>
                </c:pt>
              </c:numCache>
            </c:numRef>
          </c:val>
        </c:ser>
        <c:ser>
          <c:idx val="2"/>
          <c:order val="1"/>
          <c:tx>
            <c:strRef>
              <c:f>'Pretty wARM'!$B$59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'Pretty wARM'!$D$56:$L$56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wARM'!$D$59:$L$59</c:f>
              <c:numCache>
                <c:formatCode>#,##0</c:formatCode>
                <c:ptCount val="9"/>
                <c:pt idx="0">
                  <c:v>3562.0699860123191</c:v>
                </c:pt>
                <c:pt idx="1">
                  <c:v>5987.0445818459248</c:v>
                </c:pt>
                <c:pt idx="2">
                  <c:v>10222.692666218809</c:v>
                </c:pt>
                <c:pt idx="3">
                  <c:v>10560.561498861054</c:v>
                </c:pt>
                <c:pt idx="4">
                  <c:v>11300.832884418302</c:v>
                </c:pt>
                <c:pt idx="5">
                  <c:v>52773.387813088804</c:v>
                </c:pt>
                <c:pt idx="6">
                  <c:v>112464.31142310666</c:v>
                </c:pt>
                <c:pt idx="8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98208"/>
        <c:axId val="232404096"/>
      </c:barChart>
      <c:catAx>
        <c:axId val="2323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04096"/>
        <c:crosses val="autoZero"/>
        <c:auto val="1"/>
        <c:lblAlgn val="ctr"/>
        <c:lblOffset val="100"/>
        <c:noMultiLvlLbl val="0"/>
      </c:catAx>
      <c:valAx>
        <c:axId val="23240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250 Hz FIR Filter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1887218536543163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323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wARM'!$B$43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6.2794338159212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8383014477638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wARM'!$D$39:$L$39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wARM'!$D$43:$L$43</c:f>
              <c:numCache>
                <c:formatCode>#,##0</c:formatCode>
                <c:ptCount val="9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116144.01858304298</c:v>
                </c:pt>
                <c:pt idx="6">
                  <c:v>334448.16053511703</c:v>
                </c:pt>
                <c:pt idx="7">
                  <c:v>121506.68286755771</c:v>
                </c:pt>
                <c:pt idx="8">
                  <c:v>107526.8817204301</c:v>
                </c:pt>
              </c:numCache>
            </c:numRef>
          </c:val>
        </c:ser>
        <c:ser>
          <c:idx val="1"/>
          <c:order val="1"/>
          <c:tx>
            <c:strRef>
              <c:f>'Pretty wARM'!$B$50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5588676318425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465723026535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7257842122837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117735263685128E-2"/>
                  <c:y val="-3.99800037020853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wARM'!$D$39:$L$39</c:f>
              <c:strCache>
                <c:ptCount val="9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Teensy 3.6</c:v>
                </c:pt>
                <c:pt idx="6">
                  <c:v>Teensy 3.6</c:v>
                </c:pt>
                <c:pt idx="7">
                  <c:v>Teensy 3.6</c:v>
                </c:pt>
                <c:pt idx="8">
                  <c:v>FRDM-K66F</c:v>
                </c:pt>
              </c:strCache>
            </c:strRef>
          </c:cat>
          <c:val>
            <c:numRef>
              <c:f>'Pretty wARM'!$D$50:$L$50</c:f>
              <c:numCache>
                <c:formatCode>#,##0</c:formatCode>
                <c:ptCount val="9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3990.9007462984396</c:v>
                </c:pt>
                <c:pt idx="5">
                  <c:v>87032.201914708436</c:v>
                </c:pt>
                <c:pt idx="6">
                  <c:v>395256.91699604748</c:v>
                </c:pt>
                <c:pt idx="8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26496"/>
        <c:axId val="232432384"/>
      </c:barChart>
      <c:catAx>
        <c:axId val="2324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32384"/>
        <c:crosses val="autoZero"/>
        <c:auto val="1"/>
        <c:lblAlgn val="ctr"/>
        <c:lblOffset val="100"/>
        <c:noMultiLvlLbl val="0"/>
      </c:catAx>
      <c:valAx>
        <c:axId val="2324323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3242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 Speed</a:t>
            </a:r>
          </a:p>
          <a:p>
            <a:pPr>
              <a:defRPr sz="1600"/>
            </a:pPr>
            <a:r>
              <a:rPr lang="en-US" sz="1100" b="0" baseline="0"/>
              <a:t>(Naive C, Int32, Bigger Values are Better)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wARM'!$D$12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wARM'!$D$40:$D$44</c:f>
              <c:numCache>
                <c:formatCode>#,##0</c:formatCode>
                <c:ptCount val="5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wARM'!$E$12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wARM'!$E$40:$E$44</c:f>
              <c:numCache>
                <c:formatCode>#,##0</c:formatCode>
                <c:ptCount val="5"/>
                <c:pt idx="0">
                  <c:v>92850.510677808736</c:v>
                </c:pt>
                <c:pt idx="1">
                  <c:v>48100.048100048101</c:v>
                </c:pt>
                <c:pt idx="2">
                  <c:v>24491.795248591723</c:v>
                </c:pt>
                <c:pt idx="3">
                  <c:v>12359.411692003461</c:v>
                </c:pt>
                <c:pt idx="4">
                  <c:v>6208.8662610207375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wARM'!$F$12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wARM'!$F$40:$F$44</c:f>
              <c:numCache>
                <c:formatCode>#,##0</c:formatCode>
                <c:ptCount val="5"/>
                <c:pt idx="0">
                  <c:v>180180.18018018018</c:v>
                </c:pt>
                <c:pt idx="1">
                  <c:v>93808.630393996253</c:v>
                </c:pt>
                <c:pt idx="2">
                  <c:v>47824.007651841224</c:v>
                </c:pt>
                <c:pt idx="3">
                  <c:v>24160.425223483933</c:v>
                </c:pt>
                <c:pt idx="4">
                  <c:v>12141.816415735793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wARM'!$G$12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wARM'!$G$40:$G$44</c:f>
              <c:numCache>
                <c:formatCode>#,##0</c:formatCode>
                <c:ptCount val="5"/>
                <c:pt idx="0">
                  <c:v>154083.20493066256</c:v>
                </c:pt>
                <c:pt idx="1">
                  <c:v>79365.079365079364</c:v>
                </c:pt>
                <c:pt idx="2">
                  <c:v>40322.580645161288</c:v>
                </c:pt>
                <c:pt idx="3">
                  <c:v>20321.072952651899</c:v>
                </c:pt>
                <c:pt idx="4">
                  <c:v>10198.878123406426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wARM'!$H$12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wARM'!$H$40:$H$44</c:f>
              <c:numCache>
                <c:formatCode>#,##0</c:formatCode>
                <c:ptCount val="5"/>
                <c:pt idx="0">
                  <c:v>502512.56281407038</c:v>
                </c:pt>
                <c:pt idx="1">
                  <c:v>261780.10471204191</c:v>
                </c:pt>
                <c:pt idx="2">
                  <c:v>133333.33333333334</c:v>
                </c:pt>
                <c:pt idx="3">
                  <c:v>67340.06734006734</c:v>
                </c:pt>
                <c:pt idx="4">
                  <c:v>33840.947546531301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wARM'!$L$12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wARM'!$C$40:$C$44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wARM'!$L$40:$L$44</c:f>
              <c:numCache>
                <c:formatCode>#,##0</c:formatCode>
                <c:ptCount val="5"/>
                <c:pt idx="0">
                  <c:v>833333.33333333337</c:v>
                </c:pt>
                <c:pt idx="1">
                  <c:v>416666.66666666669</c:v>
                </c:pt>
                <c:pt idx="2">
                  <c:v>212765.95744680849</c:v>
                </c:pt>
                <c:pt idx="3">
                  <c:v>107526.8817204301</c:v>
                </c:pt>
                <c:pt idx="4">
                  <c:v>54054.054054054053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64768"/>
        <c:axId val="232466688"/>
      </c:lineChart>
      <c:catAx>
        <c:axId val="2324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466688"/>
        <c:crosses val="autoZero"/>
        <c:auto val="1"/>
        <c:lblAlgn val="ctr"/>
        <c:lblOffset val="100"/>
        <c:noMultiLvlLbl val="0"/>
      </c:catAx>
      <c:valAx>
        <c:axId val="232466688"/>
        <c:scaling>
          <c:logBase val="10"/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Completed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3246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Filter,</a:t>
            </a:r>
            <a:r>
              <a:rPr lang="en-US" sz="1600" baseline="0"/>
              <a:t> Naive C,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'Pretty Comparison'!$D$11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Comparison'!$D$12:$D$16</c:f>
              <c:numCache>
                <c:formatCode>0.0</c:formatCode>
                <c:ptCount val="5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'Pretty Comparison'!$E$11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Comparison'!$E$12:$E$16</c:f>
              <c:numCache>
                <c:formatCode>0.0</c:formatCode>
                <c:ptCount val="5"/>
                <c:pt idx="0">
                  <c:v>10.77</c:v>
                </c:pt>
                <c:pt idx="1">
                  <c:v>20.79</c:v>
                </c:pt>
                <c:pt idx="2">
                  <c:v>40.83</c:v>
                </c:pt>
                <c:pt idx="3">
                  <c:v>80.91</c:v>
                </c:pt>
                <c:pt idx="4">
                  <c:v>161.06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'Pretty Comparison'!$F$11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Comparison'!$F$12:$F$16</c:f>
              <c:numCache>
                <c:formatCode>0.0</c:formatCode>
                <c:ptCount val="5"/>
                <c:pt idx="0">
                  <c:v>5.55</c:v>
                </c:pt>
                <c:pt idx="1">
                  <c:v>10.66</c:v>
                </c:pt>
                <c:pt idx="2">
                  <c:v>20.91</c:v>
                </c:pt>
                <c:pt idx="3">
                  <c:v>41.39</c:v>
                </c:pt>
                <c:pt idx="4">
                  <c:v>82.36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'Pretty Comparison'!$G$11</c:f>
              <c:strCache>
                <c:ptCount val="1"/>
                <c:pt idx="0">
                  <c:v>Arduino Due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Comparison'!$G$12:$G$16</c:f>
              <c:numCache>
                <c:formatCode>0.0</c:formatCode>
                <c:ptCount val="5"/>
                <c:pt idx="0">
                  <c:v>6.49</c:v>
                </c:pt>
                <c:pt idx="1">
                  <c:v>12.6</c:v>
                </c:pt>
                <c:pt idx="2">
                  <c:v>24.8</c:v>
                </c:pt>
                <c:pt idx="3">
                  <c:v>49.21</c:v>
                </c:pt>
                <c:pt idx="4">
                  <c:v>98.05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'Pretty Comparison'!$H$11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Comparison'!$H$12:$H$16</c:f>
              <c:numCache>
                <c:formatCode>0.0</c:formatCode>
                <c:ptCount val="5"/>
                <c:pt idx="0">
                  <c:v>1.99</c:v>
                </c:pt>
                <c:pt idx="1">
                  <c:v>3.82</c:v>
                </c:pt>
                <c:pt idx="2">
                  <c:v>7.5</c:v>
                </c:pt>
                <c:pt idx="3">
                  <c:v>14.85</c:v>
                </c:pt>
                <c:pt idx="4">
                  <c:v>29.55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'Pretty Comparison'!$I$11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'Pretty Comparison'!$C$12:$C$16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'Pretty Comparison'!$I$12:$I$16</c:f>
              <c:numCache>
                <c:formatCode>0.0</c:formatCode>
                <c:ptCount val="5"/>
                <c:pt idx="0">
                  <c:v>1.2</c:v>
                </c:pt>
                <c:pt idx="1">
                  <c:v>2.4</c:v>
                </c:pt>
                <c:pt idx="2">
                  <c:v>4.7</c:v>
                </c:pt>
                <c:pt idx="3">
                  <c:v>9.3000000000000007</c:v>
                </c:pt>
                <c:pt idx="4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21728"/>
        <c:axId val="232523648"/>
      </c:lineChart>
      <c:catAx>
        <c:axId val="2325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 (N Taps)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523648"/>
        <c:crosses val="autoZero"/>
        <c:auto val="1"/>
        <c:lblAlgn val="ctr"/>
        <c:lblOffset val="100"/>
        <c:noMultiLvlLbl val="0"/>
      </c:catAx>
      <c:valAx>
        <c:axId val="232523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FIR Filter (microseconds)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252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8827508263083"/>
          <c:y val="0.23035897969900113"/>
          <c:w val="0.1927217397546461"/>
          <c:h val="0.471984607864663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</a:t>
            </a:r>
            <a:r>
              <a:rPr lang="en-US" sz="1600" baseline="0"/>
              <a:t> Filters </a:t>
            </a:r>
            <a:r>
              <a:rPr lang="en-US" sz="1600"/>
              <a:t>Per Second</a:t>
            </a:r>
          </a:p>
          <a:p>
            <a:pPr>
              <a:defRPr sz="1600"/>
            </a:pPr>
            <a:r>
              <a:rPr lang="en-US" sz="1100" b="0"/>
              <a:t>(Naive C,</a:t>
            </a:r>
            <a:r>
              <a:rPr lang="en-US" sz="1100" b="0" baseline="0"/>
              <a:t> N=128,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'Pretty Comparison'!$B$39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'Pretty Comparison'!$D$35:$I$35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'Pretty Comparison'!$D$39:$I$39</c:f>
              <c:numCache>
                <c:formatCode>#,##0</c:formatCode>
                <c:ptCount val="6"/>
                <c:pt idx="0">
                  <c:v>1000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67340.06734006734</c:v>
                </c:pt>
                <c:pt idx="5">
                  <c:v>107526.8817204301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69472"/>
        <c:axId val="232571264"/>
      </c:barChart>
      <c:catAx>
        <c:axId val="2325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71264"/>
        <c:crosses val="autoZero"/>
        <c:auto val="1"/>
        <c:lblAlgn val="ctr"/>
        <c:lblOffset val="100"/>
        <c:noMultiLvlLbl val="0"/>
      </c:catAx>
      <c:valAx>
        <c:axId val="2325712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325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0</xdr:row>
      <xdr:rowOff>109536</xdr:rowOff>
    </xdr:from>
    <xdr:to>
      <xdr:col>25</xdr:col>
      <xdr:colOff>352425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409574</xdr:colOff>
      <xdr:row>36</xdr:row>
      <xdr:rowOff>61912</xdr:rowOff>
    </xdr:from>
    <xdr:to>
      <xdr:col>25</xdr:col>
      <xdr:colOff>381000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476248</xdr:colOff>
      <xdr:row>18</xdr:row>
      <xdr:rowOff>42862</xdr:rowOff>
    </xdr:from>
    <xdr:to>
      <xdr:col>35</xdr:col>
      <xdr:colOff>438149</xdr:colOff>
      <xdr:row>35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400048</xdr:colOff>
      <xdr:row>17</xdr:row>
      <xdr:rowOff>185737</xdr:rowOff>
    </xdr:from>
    <xdr:to>
      <xdr:col>25</xdr:col>
      <xdr:colOff>361949</xdr:colOff>
      <xdr:row>35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60</xdr:row>
      <xdr:rowOff>80961</xdr:rowOff>
    </xdr:from>
    <xdr:to>
      <xdr:col>11</xdr:col>
      <xdr:colOff>600075</xdr:colOff>
      <xdr:row>77</xdr:row>
      <xdr:rowOff>9524</xdr:rowOff>
    </xdr:to>
    <xdr:grpSp>
      <xdr:nvGrpSpPr>
        <xdr:cNvPr id="6" name="Group 5"/>
        <xdr:cNvGrpSpPr/>
      </xdr:nvGrpSpPr>
      <xdr:grpSpPr>
        <a:xfrm>
          <a:off x="904875" y="11653836"/>
          <a:ext cx="9515475" cy="3167063"/>
          <a:chOff x="828675" y="10891836"/>
          <a:chExt cx="5838825" cy="3167063"/>
        </a:xfrm>
      </xdr:grpSpPr>
      <xdr:graphicFrame macro="">
        <xdr:nvGraphicFramePr>
          <xdr:cNvPr id="7" name="Chart 6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8" name="Straight Connector 7"/>
          <xdr:cNvCxnSpPr/>
        </xdr:nvCxnSpPr>
        <xdr:spPr>
          <a:xfrm>
            <a:off x="1384815" y="12915900"/>
            <a:ext cx="4750820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419099</xdr:colOff>
      <xdr:row>53</xdr:row>
      <xdr:rowOff>138112</xdr:rowOff>
    </xdr:from>
    <xdr:to>
      <xdr:col>25</xdr:col>
      <xdr:colOff>390525</xdr:colOff>
      <xdr:row>70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485774</xdr:colOff>
      <xdr:row>0</xdr:row>
      <xdr:rowOff>119061</xdr:rowOff>
    </xdr:from>
    <xdr:to>
      <xdr:col>35</xdr:col>
      <xdr:colOff>438150</xdr:colOff>
      <xdr:row>18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109536</xdr:rowOff>
    </xdr:from>
    <xdr:to>
      <xdr:col>19</xdr:col>
      <xdr:colOff>352425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32</xdr:row>
      <xdr:rowOff>61912</xdr:rowOff>
    </xdr:from>
    <xdr:to>
      <xdr:col>19</xdr:col>
      <xdr:colOff>381000</xdr:colOff>
      <xdr:row>49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476248</xdr:colOff>
      <xdr:row>16</xdr:row>
      <xdr:rowOff>4762</xdr:rowOff>
    </xdr:from>
    <xdr:to>
      <xdr:col>29</xdr:col>
      <xdr:colOff>438149</xdr:colOff>
      <xdr:row>31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400048</xdr:colOff>
      <xdr:row>15</xdr:row>
      <xdr:rowOff>185737</xdr:rowOff>
    </xdr:from>
    <xdr:to>
      <xdr:col>19</xdr:col>
      <xdr:colOff>361949</xdr:colOff>
      <xdr:row>31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56</xdr:row>
      <xdr:rowOff>80961</xdr:rowOff>
    </xdr:from>
    <xdr:to>
      <xdr:col>8</xdr:col>
      <xdr:colOff>600075</xdr:colOff>
      <xdr:row>73</xdr:row>
      <xdr:rowOff>9524</xdr:rowOff>
    </xdr:to>
    <xdr:grpSp>
      <xdr:nvGrpSpPr>
        <xdr:cNvPr id="4" name="Group 3"/>
        <xdr:cNvGrpSpPr/>
      </xdr:nvGrpSpPr>
      <xdr:grpSpPr>
        <a:xfrm>
          <a:off x="904875" y="10891836"/>
          <a:ext cx="6629400" cy="3167063"/>
          <a:chOff x="828675" y="10891836"/>
          <a:chExt cx="5838825" cy="3167063"/>
        </a:xfrm>
      </xdr:grpSpPr>
      <xdr:graphicFrame macro="">
        <xdr:nvGraphicFramePr>
          <xdr:cNvPr id="10" name="Chart 9"/>
          <xdr:cNvGraphicFramePr/>
        </xdr:nvGraphicFramePr>
        <xdr:xfrm>
          <a:off x="828675" y="10891836"/>
          <a:ext cx="5838825" cy="3167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cxnSp macro="">
        <xdr:nvCxnSpPr>
          <xdr:cNvPr id="3" name="Straight Connector 2"/>
          <xdr:cNvCxnSpPr/>
        </xdr:nvCxnSpPr>
        <xdr:spPr>
          <a:xfrm>
            <a:off x="1647825" y="12134850"/>
            <a:ext cx="418147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419099</xdr:colOff>
      <xdr:row>49</xdr:row>
      <xdr:rowOff>138112</xdr:rowOff>
    </xdr:from>
    <xdr:to>
      <xdr:col>19</xdr:col>
      <xdr:colOff>390525</xdr:colOff>
      <xdr:row>66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485774</xdr:colOff>
      <xdr:row>0</xdr:row>
      <xdr:rowOff>119061</xdr:rowOff>
    </xdr:from>
    <xdr:to>
      <xdr:col>29</xdr:col>
      <xdr:colOff>438150</xdr:colOff>
      <xdr:row>16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C20" sqref="C20"/>
    </sheetView>
  </sheetViews>
  <sheetFormatPr defaultRowHeight="15"/>
  <cols>
    <col min="2" max="2" width="9.875" customWidth="1"/>
    <col min="3" max="3" width="13.875" customWidth="1"/>
    <col min="4" max="4" width="8" customWidth="1"/>
    <col min="5" max="5" width="12.875" bestFit="1" customWidth="1"/>
    <col min="6" max="6" width="17.375" customWidth="1"/>
    <col min="7" max="7" width="9.625" customWidth="1"/>
    <col min="8" max="8" width="7.875" customWidth="1"/>
    <col min="9" max="9" width="5.25" customWidth="1"/>
    <col min="10" max="10" width="7.875" customWidth="1"/>
  </cols>
  <sheetData>
    <row r="4" spans="2:10" ht="15.75">
      <c r="B4" s="68" t="s">
        <v>118</v>
      </c>
      <c r="C4" s="68"/>
      <c r="D4" s="67" t="s">
        <v>125</v>
      </c>
      <c r="E4" s="67"/>
      <c r="F4" s="67"/>
      <c r="G4" s="67"/>
      <c r="H4" s="67"/>
      <c r="I4" s="67"/>
      <c r="J4" s="67"/>
    </row>
    <row r="5" spans="2:10" ht="15.75">
      <c r="B5" s="25" t="s">
        <v>103</v>
      </c>
      <c r="C5" s="25" t="s">
        <v>104</v>
      </c>
      <c r="D5" s="36" t="s">
        <v>103</v>
      </c>
      <c r="E5" s="36" t="s">
        <v>104</v>
      </c>
      <c r="F5" s="36" t="s">
        <v>105</v>
      </c>
      <c r="G5" s="36" t="s">
        <v>116</v>
      </c>
      <c r="H5" s="36" t="s">
        <v>117</v>
      </c>
      <c r="I5" s="36" t="s">
        <v>128</v>
      </c>
      <c r="J5" s="36" t="s">
        <v>106</v>
      </c>
    </row>
    <row r="6" spans="2:10" ht="15.75">
      <c r="B6" s="26" t="s">
        <v>99</v>
      </c>
      <c r="C6" s="26" t="s">
        <v>76</v>
      </c>
      <c r="D6" s="26" t="s">
        <v>119</v>
      </c>
      <c r="E6" s="26" t="s">
        <v>124</v>
      </c>
      <c r="F6" s="26" t="s">
        <v>101</v>
      </c>
      <c r="G6" s="26" t="s">
        <v>30</v>
      </c>
      <c r="H6" s="26" t="s">
        <v>107</v>
      </c>
      <c r="I6" s="26" t="s">
        <v>129</v>
      </c>
      <c r="J6" s="26" t="s">
        <v>111</v>
      </c>
    </row>
    <row r="7" spans="2:10" ht="15.75">
      <c r="B7" s="26" t="s">
        <v>99</v>
      </c>
      <c r="C7" s="26" t="s">
        <v>109</v>
      </c>
      <c r="D7" s="26" t="s">
        <v>119</v>
      </c>
      <c r="E7" s="26" t="s">
        <v>123</v>
      </c>
      <c r="F7" s="26" t="s">
        <v>131</v>
      </c>
      <c r="G7" s="26" t="s">
        <v>27</v>
      </c>
      <c r="H7" s="26" t="s">
        <v>108</v>
      </c>
      <c r="I7" s="26" t="s">
        <v>129</v>
      </c>
      <c r="J7" s="26" t="s">
        <v>110</v>
      </c>
    </row>
    <row r="8" spans="2:10" ht="15.75">
      <c r="B8" s="26" t="s">
        <v>136</v>
      </c>
      <c r="C8" s="26" t="s">
        <v>19</v>
      </c>
      <c r="D8" s="26" t="s">
        <v>120</v>
      </c>
      <c r="E8" s="26" t="s">
        <v>127</v>
      </c>
      <c r="F8" s="26" t="s">
        <v>132</v>
      </c>
      <c r="G8" s="26" t="s">
        <v>23</v>
      </c>
      <c r="H8" s="26" t="s">
        <v>108</v>
      </c>
      <c r="I8" s="26" t="s">
        <v>129</v>
      </c>
      <c r="J8" s="26" t="s">
        <v>112</v>
      </c>
    </row>
    <row r="9" spans="2:10" ht="15.75">
      <c r="B9" s="26" t="s">
        <v>99</v>
      </c>
      <c r="C9" s="26" t="s">
        <v>78</v>
      </c>
      <c r="D9" s="26" t="s">
        <v>119</v>
      </c>
      <c r="E9" s="26" t="s">
        <v>122</v>
      </c>
      <c r="F9" s="26" t="s">
        <v>132</v>
      </c>
      <c r="G9" s="26" t="s">
        <v>34</v>
      </c>
      <c r="H9" s="26" t="s">
        <v>108</v>
      </c>
      <c r="I9" s="26" t="s">
        <v>129</v>
      </c>
      <c r="J9" s="26" t="s">
        <v>113</v>
      </c>
    </row>
    <row r="10" spans="2:10" ht="15.75">
      <c r="B10" s="26" t="s">
        <v>137</v>
      </c>
      <c r="C10" s="27" t="s">
        <v>65</v>
      </c>
      <c r="D10" s="27" t="s">
        <v>100</v>
      </c>
      <c r="E10" s="26" t="s">
        <v>121</v>
      </c>
      <c r="F10" s="26" t="s">
        <v>133</v>
      </c>
      <c r="G10" s="26" t="s">
        <v>102</v>
      </c>
      <c r="H10" s="26" t="s">
        <v>108</v>
      </c>
      <c r="I10" s="26" t="s">
        <v>129</v>
      </c>
      <c r="J10" s="26" t="s">
        <v>114</v>
      </c>
    </row>
    <row r="11" spans="2:10" ht="15.75">
      <c r="B11" s="26" t="s">
        <v>100</v>
      </c>
      <c r="C11" s="26" t="s">
        <v>70</v>
      </c>
      <c r="D11" s="26" t="s">
        <v>100</v>
      </c>
      <c r="E11" s="26" t="s">
        <v>126</v>
      </c>
      <c r="F11" s="26" t="s">
        <v>134</v>
      </c>
      <c r="G11" s="26" t="s">
        <v>55</v>
      </c>
      <c r="H11" s="26" t="s">
        <v>108</v>
      </c>
      <c r="I11" s="26" t="s">
        <v>130</v>
      </c>
      <c r="J11" s="26" t="s">
        <v>115</v>
      </c>
    </row>
  </sheetData>
  <mergeCells count="2">
    <mergeCell ref="D4:J4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75" customWidth="1"/>
    <col min="5" max="5" width="2.875" customWidth="1"/>
    <col min="10" max="10" width="3.6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3"/>
  <sheetViews>
    <sheetView topLeftCell="C1" workbookViewId="0">
      <selection activeCell="T13" sqref="T13"/>
    </sheetView>
  </sheetViews>
  <sheetFormatPr defaultRowHeight="15"/>
  <sheetData>
    <row r="2" spans="3:19">
      <c r="C2" t="s">
        <v>95</v>
      </c>
    </row>
    <row r="3" spans="3:19">
      <c r="C3" t="s">
        <v>93</v>
      </c>
      <c r="E3" t="s">
        <v>96</v>
      </c>
    </row>
    <row r="4" spans="3:19">
      <c r="C4" t="s">
        <v>89</v>
      </c>
      <c r="D4" t="s">
        <v>94</v>
      </c>
      <c r="E4" t="s">
        <v>11</v>
      </c>
      <c r="F4" t="s">
        <v>86</v>
      </c>
      <c r="G4" t="s">
        <v>19</v>
      </c>
      <c r="H4" t="s">
        <v>31</v>
      </c>
      <c r="I4" t="s">
        <v>65</v>
      </c>
      <c r="J4" t="s">
        <v>70</v>
      </c>
    </row>
    <row r="5" spans="3:19">
      <c r="C5" t="s">
        <v>90</v>
      </c>
      <c r="D5">
        <v>16</v>
      </c>
      <c r="E5">
        <v>41</v>
      </c>
      <c r="F5">
        <v>9.11</v>
      </c>
      <c r="G5">
        <v>6.45</v>
      </c>
      <c r="H5">
        <v>6.49</v>
      </c>
      <c r="I5">
        <v>1.99</v>
      </c>
      <c r="J5">
        <v>1.4</v>
      </c>
      <c r="N5">
        <f>E5/$D5</f>
        <v>2.5625</v>
      </c>
      <c r="O5">
        <f t="shared" ref="O5:S5" si="0">F5/$D5</f>
        <v>0.56937499999999996</v>
      </c>
      <c r="P5">
        <f t="shared" si="0"/>
        <v>0.40312500000000001</v>
      </c>
      <c r="Q5">
        <f t="shared" si="0"/>
        <v>0.40562500000000001</v>
      </c>
      <c r="R5">
        <f t="shared" si="0"/>
        <v>0.124375</v>
      </c>
      <c r="S5">
        <f t="shared" si="0"/>
        <v>8.7499999999999994E-2</v>
      </c>
    </row>
    <row r="6" spans="3:19">
      <c r="C6" t="s">
        <v>90</v>
      </c>
      <c r="D6">
        <v>32</v>
      </c>
      <c r="E6">
        <v>79</v>
      </c>
      <c r="F6">
        <v>17.46</v>
      </c>
      <c r="G6">
        <v>12.47</v>
      </c>
      <c r="H6">
        <v>12.6</v>
      </c>
      <c r="I6">
        <v>3.82</v>
      </c>
      <c r="J6">
        <v>2.8</v>
      </c>
      <c r="N6">
        <f t="shared" ref="N6:N23" si="1">E6/$D6</f>
        <v>2.46875</v>
      </c>
      <c r="O6">
        <f t="shared" ref="O6:O23" si="2">F6/$D6</f>
        <v>0.54562500000000003</v>
      </c>
      <c r="P6">
        <f t="shared" ref="P6:P23" si="3">G6/$D6</f>
        <v>0.38968750000000002</v>
      </c>
      <c r="Q6">
        <f t="shared" ref="Q6:Q23" si="4">H6/$D6</f>
        <v>0.39374999999999999</v>
      </c>
      <c r="R6">
        <f t="shared" ref="R6:R23" si="5">I6/$D6</f>
        <v>0.119375</v>
      </c>
      <c r="S6">
        <f t="shared" ref="S6:S23" si="6">J6/$D6</f>
        <v>8.7499999999999994E-2</v>
      </c>
    </row>
    <row r="7" spans="3:19">
      <c r="C7" t="s">
        <v>90</v>
      </c>
      <c r="D7">
        <v>64</v>
      </c>
      <c r="E7">
        <v>155</v>
      </c>
      <c r="F7">
        <v>34.15</v>
      </c>
      <c r="G7">
        <v>24.48</v>
      </c>
      <c r="H7">
        <v>24.8</v>
      </c>
      <c r="I7">
        <v>7.5</v>
      </c>
      <c r="J7">
        <v>5.4</v>
      </c>
      <c r="N7">
        <f t="shared" si="1"/>
        <v>2.421875</v>
      </c>
      <c r="O7">
        <f t="shared" si="2"/>
        <v>0.53359374999999998</v>
      </c>
      <c r="P7">
        <f t="shared" si="3"/>
        <v>0.38250000000000001</v>
      </c>
      <c r="Q7">
        <f t="shared" si="4"/>
        <v>0.38750000000000001</v>
      </c>
      <c r="R7">
        <f t="shared" si="5"/>
        <v>0.1171875</v>
      </c>
      <c r="S7">
        <f t="shared" si="6"/>
        <v>8.4375000000000006E-2</v>
      </c>
    </row>
    <row r="8" spans="3:19">
      <c r="C8" t="s">
        <v>90</v>
      </c>
      <c r="D8">
        <v>128</v>
      </c>
      <c r="E8">
        <v>308</v>
      </c>
      <c r="F8">
        <v>67.55</v>
      </c>
      <c r="G8">
        <v>48.53</v>
      </c>
      <c r="H8">
        <v>49.21</v>
      </c>
      <c r="I8">
        <v>14.85</v>
      </c>
      <c r="J8">
        <v>10.7</v>
      </c>
      <c r="N8">
        <f t="shared" si="1"/>
        <v>2.40625</v>
      </c>
      <c r="O8">
        <f t="shared" si="2"/>
        <v>0.52773437499999998</v>
      </c>
      <c r="P8">
        <f t="shared" si="3"/>
        <v>0.37914062500000001</v>
      </c>
      <c r="Q8">
        <f t="shared" si="4"/>
        <v>0.38445312500000001</v>
      </c>
      <c r="R8">
        <f t="shared" si="5"/>
        <v>0.116015625</v>
      </c>
      <c r="S8">
        <f t="shared" si="6"/>
        <v>8.3593749999999994E-2</v>
      </c>
    </row>
    <row r="9" spans="3:19">
      <c r="C9" t="s">
        <v>90</v>
      </c>
      <c r="D9">
        <v>256</v>
      </c>
      <c r="E9">
        <v>612</v>
      </c>
      <c r="F9">
        <v>134.35</v>
      </c>
      <c r="G9">
        <v>96.64</v>
      </c>
      <c r="H9">
        <v>98.05</v>
      </c>
      <c r="I9">
        <v>29.55</v>
      </c>
      <c r="J9">
        <v>21.3</v>
      </c>
      <c r="N9">
        <f t="shared" si="1"/>
        <v>2.390625</v>
      </c>
      <c r="O9">
        <f t="shared" si="2"/>
        <v>0.52480468749999998</v>
      </c>
      <c r="P9">
        <f t="shared" si="3"/>
        <v>0.3775</v>
      </c>
      <c r="Q9">
        <f t="shared" si="4"/>
        <v>0.38300781249999999</v>
      </c>
      <c r="R9">
        <f t="shared" si="5"/>
        <v>0.1154296875</v>
      </c>
      <c r="S9">
        <f t="shared" si="6"/>
        <v>8.3203125000000003E-2</v>
      </c>
    </row>
    <row r="11" spans="3:19">
      <c r="C11" t="s">
        <v>89</v>
      </c>
      <c r="D11" t="s">
        <v>94</v>
      </c>
      <c r="E11" t="s">
        <v>11</v>
      </c>
      <c r="F11" t="s">
        <v>86</v>
      </c>
      <c r="G11" t="s">
        <v>19</v>
      </c>
      <c r="H11" t="s">
        <v>31</v>
      </c>
      <c r="I11" t="s">
        <v>65</v>
      </c>
      <c r="J11" t="s">
        <v>70</v>
      </c>
    </row>
    <row r="12" spans="3:19">
      <c r="C12" t="s">
        <v>91</v>
      </c>
      <c r="D12">
        <v>16</v>
      </c>
      <c r="E12">
        <v>129</v>
      </c>
      <c r="F12">
        <v>10.77</v>
      </c>
      <c r="G12">
        <v>5.55</v>
      </c>
      <c r="H12">
        <v>6.49</v>
      </c>
      <c r="I12">
        <v>1.99</v>
      </c>
      <c r="J12">
        <v>1.2</v>
      </c>
      <c r="N12">
        <f t="shared" si="1"/>
        <v>8.0625</v>
      </c>
      <c r="O12">
        <f t="shared" si="2"/>
        <v>0.67312499999999997</v>
      </c>
      <c r="P12">
        <f t="shared" si="3"/>
        <v>0.34687499999999999</v>
      </c>
      <c r="Q12">
        <f t="shared" si="4"/>
        <v>0.40562500000000001</v>
      </c>
      <c r="R12">
        <f t="shared" si="5"/>
        <v>0.124375</v>
      </c>
      <c r="S12">
        <f t="shared" si="6"/>
        <v>7.4999999999999997E-2</v>
      </c>
    </row>
    <row r="13" spans="3:19">
      <c r="C13" t="s">
        <v>91</v>
      </c>
      <c r="D13">
        <v>32</v>
      </c>
      <c r="E13">
        <v>254</v>
      </c>
      <c r="F13">
        <v>20.79</v>
      </c>
      <c r="G13">
        <v>10.66</v>
      </c>
      <c r="H13">
        <v>12.6</v>
      </c>
      <c r="I13">
        <v>3.82</v>
      </c>
      <c r="J13">
        <v>2.4</v>
      </c>
      <c r="N13">
        <f t="shared" si="1"/>
        <v>7.9375</v>
      </c>
      <c r="O13">
        <f t="shared" si="2"/>
        <v>0.64968749999999997</v>
      </c>
      <c r="P13">
        <f t="shared" si="3"/>
        <v>0.333125</v>
      </c>
      <c r="Q13">
        <f t="shared" si="4"/>
        <v>0.39374999999999999</v>
      </c>
      <c r="R13">
        <f t="shared" si="5"/>
        <v>0.119375</v>
      </c>
      <c r="S13">
        <f t="shared" si="6"/>
        <v>7.4999999999999997E-2</v>
      </c>
    </row>
    <row r="14" spans="3:19">
      <c r="C14" t="s">
        <v>91</v>
      </c>
      <c r="D14">
        <v>64</v>
      </c>
      <c r="E14">
        <v>503</v>
      </c>
      <c r="F14">
        <v>40.83</v>
      </c>
      <c r="G14">
        <v>20.91</v>
      </c>
      <c r="H14">
        <v>24.8</v>
      </c>
      <c r="I14">
        <v>7.5</v>
      </c>
      <c r="J14">
        <v>4.7</v>
      </c>
      <c r="N14">
        <f t="shared" si="1"/>
        <v>7.859375</v>
      </c>
      <c r="O14">
        <f t="shared" si="2"/>
        <v>0.63796874999999997</v>
      </c>
      <c r="P14">
        <f t="shared" si="3"/>
        <v>0.32671875</v>
      </c>
      <c r="Q14">
        <f t="shared" si="4"/>
        <v>0.38750000000000001</v>
      </c>
      <c r="R14">
        <f t="shared" si="5"/>
        <v>0.1171875</v>
      </c>
      <c r="S14">
        <f t="shared" si="6"/>
        <v>7.3437500000000003E-2</v>
      </c>
    </row>
    <row r="15" spans="3:19">
      <c r="C15" t="s">
        <v>91</v>
      </c>
      <c r="D15">
        <v>128</v>
      </c>
      <c r="E15">
        <v>1000</v>
      </c>
      <c r="F15">
        <v>80.91</v>
      </c>
      <c r="G15">
        <v>41.39</v>
      </c>
      <c r="H15">
        <v>49.21</v>
      </c>
      <c r="I15">
        <v>14.85</v>
      </c>
      <c r="J15">
        <v>9.3000000000000007</v>
      </c>
      <c r="N15">
        <f t="shared" si="1"/>
        <v>7.8125</v>
      </c>
      <c r="O15">
        <f t="shared" si="2"/>
        <v>0.63210937499999997</v>
      </c>
      <c r="P15">
        <f t="shared" si="3"/>
        <v>0.323359375</v>
      </c>
      <c r="Q15">
        <f t="shared" si="4"/>
        <v>0.38445312500000001</v>
      </c>
      <c r="R15">
        <f t="shared" si="5"/>
        <v>0.116015625</v>
      </c>
      <c r="S15">
        <f t="shared" si="6"/>
        <v>7.2656250000000006E-2</v>
      </c>
    </row>
    <row r="16" spans="3:19">
      <c r="C16" t="s">
        <v>91</v>
      </c>
      <c r="D16">
        <v>256</v>
      </c>
      <c r="F16">
        <v>161.06</v>
      </c>
      <c r="G16">
        <v>82.36</v>
      </c>
      <c r="H16">
        <v>98.05</v>
      </c>
      <c r="I16">
        <v>29.55</v>
      </c>
      <c r="J16">
        <v>18.5</v>
      </c>
      <c r="N16">
        <f t="shared" si="1"/>
        <v>0</v>
      </c>
      <c r="O16">
        <f t="shared" si="2"/>
        <v>0.62914062500000001</v>
      </c>
      <c r="P16">
        <f t="shared" si="3"/>
        <v>0.32171875</v>
      </c>
      <c r="Q16">
        <f t="shared" si="4"/>
        <v>0.38300781249999999</v>
      </c>
      <c r="R16">
        <f t="shared" si="5"/>
        <v>0.1154296875</v>
      </c>
      <c r="S16">
        <f t="shared" si="6"/>
        <v>7.2265625E-2</v>
      </c>
    </row>
    <row r="18" spans="3:19">
      <c r="C18" t="s">
        <v>89</v>
      </c>
      <c r="D18" t="s">
        <v>94</v>
      </c>
      <c r="E18" t="s">
        <v>11</v>
      </c>
      <c r="F18" t="s">
        <v>86</v>
      </c>
      <c r="G18" t="s">
        <v>19</v>
      </c>
      <c r="H18" t="s">
        <v>31</v>
      </c>
      <c r="I18" t="s">
        <v>65</v>
      </c>
      <c r="J18" t="s">
        <v>70</v>
      </c>
    </row>
    <row r="19" spans="3:19">
      <c r="C19" t="s">
        <v>92</v>
      </c>
      <c r="D19">
        <v>16</v>
      </c>
      <c r="E19">
        <v>311</v>
      </c>
      <c r="F19">
        <v>114.83</v>
      </c>
      <c r="G19">
        <v>39.39</v>
      </c>
      <c r="H19">
        <v>35.69</v>
      </c>
      <c r="I19">
        <v>30.53</v>
      </c>
      <c r="J19">
        <v>1.3</v>
      </c>
      <c r="N19">
        <f t="shared" si="1"/>
        <v>19.4375</v>
      </c>
      <c r="O19">
        <f t="shared" si="2"/>
        <v>7.1768749999999999</v>
      </c>
      <c r="P19">
        <f t="shared" si="3"/>
        <v>2.461875</v>
      </c>
      <c r="Q19">
        <f t="shared" si="4"/>
        <v>2.2306249999999999</v>
      </c>
      <c r="R19">
        <f t="shared" si="5"/>
        <v>1.9081250000000001</v>
      </c>
      <c r="S19">
        <f t="shared" si="6"/>
        <v>8.1250000000000003E-2</v>
      </c>
    </row>
    <row r="20" spans="3:19">
      <c r="C20" t="s">
        <v>92</v>
      </c>
      <c r="D20">
        <v>32</v>
      </c>
      <c r="E20">
        <v>622</v>
      </c>
      <c r="F20">
        <v>226.47</v>
      </c>
      <c r="G20">
        <v>77.59</v>
      </c>
      <c r="H20">
        <v>71.64</v>
      </c>
      <c r="I20">
        <v>62.01</v>
      </c>
      <c r="J20">
        <v>2.7</v>
      </c>
      <c r="N20">
        <f t="shared" si="1"/>
        <v>19.4375</v>
      </c>
      <c r="O20">
        <f t="shared" si="2"/>
        <v>7.0771875</v>
      </c>
      <c r="P20">
        <f t="shared" si="3"/>
        <v>2.4246875000000001</v>
      </c>
      <c r="Q20">
        <f t="shared" si="4"/>
        <v>2.23875</v>
      </c>
      <c r="R20">
        <f t="shared" si="5"/>
        <v>1.9378124999999999</v>
      </c>
      <c r="S20">
        <f t="shared" si="6"/>
        <v>8.4375000000000006E-2</v>
      </c>
    </row>
    <row r="21" spans="3:19">
      <c r="C21" t="s">
        <v>92</v>
      </c>
      <c r="D21">
        <v>64</v>
      </c>
      <c r="E21">
        <v>1270</v>
      </c>
      <c r="F21">
        <v>446.45</v>
      </c>
      <c r="G21">
        <v>153.84</v>
      </c>
      <c r="H21">
        <v>143.43</v>
      </c>
      <c r="I21">
        <v>124.89</v>
      </c>
      <c r="J21">
        <v>5</v>
      </c>
      <c r="N21">
        <f t="shared" si="1"/>
        <v>19.84375</v>
      </c>
      <c r="O21">
        <f t="shared" si="2"/>
        <v>6.9757812499999998</v>
      </c>
      <c r="P21">
        <f t="shared" si="3"/>
        <v>2.4037500000000001</v>
      </c>
      <c r="Q21">
        <f t="shared" si="4"/>
        <v>2.2410937500000001</v>
      </c>
      <c r="R21">
        <f t="shared" si="5"/>
        <v>1.95140625</v>
      </c>
      <c r="S21">
        <f t="shared" si="6"/>
        <v>7.8125E-2</v>
      </c>
    </row>
    <row r="22" spans="3:19">
      <c r="C22" t="s">
        <v>92</v>
      </c>
      <c r="D22">
        <v>128</v>
      </c>
      <c r="E22">
        <v>2522</v>
      </c>
      <c r="F22">
        <v>892.74</v>
      </c>
      <c r="G22">
        <v>306.20999999999998</v>
      </c>
      <c r="H22">
        <v>286.93</v>
      </c>
      <c r="I22">
        <v>250.57</v>
      </c>
      <c r="J22">
        <v>10</v>
      </c>
      <c r="N22">
        <f t="shared" si="1"/>
        <v>19.703125</v>
      </c>
      <c r="O22">
        <f t="shared" si="2"/>
        <v>6.9745312500000001</v>
      </c>
      <c r="P22">
        <f t="shared" si="3"/>
        <v>2.3922656249999998</v>
      </c>
      <c r="Q22">
        <f t="shared" si="4"/>
        <v>2.2416406250000001</v>
      </c>
      <c r="R22">
        <f t="shared" si="5"/>
        <v>1.9575781249999999</v>
      </c>
      <c r="S22">
        <f t="shared" si="6"/>
        <v>7.8125E-2</v>
      </c>
    </row>
    <row r="23" spans="3:19">
      <c r="C23" t="s">
        <v>92</v>
      </c>
      <c r="D23">
        <v>256</v>
      </c>
      <c r="F23">
        <v>1783.68</v>
      </c>
      <c r="G23">
        <v>610.84</v>
      </c>
      <c r="H23">
        <v>573.83000000000004</v>
      </c>
      <c r="I23">
        <v>501.85</v>
      </c>
      <c r="J23">
        <v>19.899999999999999</v>
      </c>
      <c r="N23">
        <f t="shared" si="1"/>
        <v>0</v>
      </c>
      <c r="O23">
        <f t="shared" si="2"/>
        <v>6.9675000000000002</v>
      </c>
      <c r="P23">
        <f t="shared" si="3"/>
        <v>2.3860937500000001</v>
      </c>
      <c r="Q23">
        <f t="shared" si="4"/>
        <v>2.2415234375000002</v>
      </c>
      <c r="R23">
        <f t="shared" si="5"/>
        <v>1.9603515625000001</v>
      </c>
      <c r="S23">
        <f t="shared" si="6"/>
        <v>7.7734374999999994E-2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8"/>
  <sheetViews>
    <sheetView tabSelected="1" workbookViewId="0">
      <selection activeCell="J14" sqref="J14:J18"/>
    </sheetView>
  </sheetViews>
  <sheetFormatPr defaultRowHeight="15"/>
  <cols>
    <col min="3" max="3" width="9.875" customWidth="1"/>
    <col min="4" max="12" width="12.625" style="15" customWidth="1"/>
    <col min="13" max="13" width="2.25" style="57" customWidth="1"/>
    <col min="14" max="15" width="9.5" style="46" customWidth="1"/>
  </cols>
  <sheetData>
    <row r="2" spans="2:15" ht="18.75">
      <c r="B2" s="69" t="s">
        <v>141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52"/>
      <c r="N2" s="40">
        <v>180000000</v>
      </c>
      <c r="O2" s="40" t="s">
        <v>151</v>
      </c>
    </row>
    <row r="3" spans="2:15">
      <c r="B3" s="70" t="s">
        <v>93</v>
      </c>
      <c r="C3" s="71"/>
      <c r="D3" s="70" t="s">
        <v>96</v>
      </c>
      <c r="E3" s="72"/>
      <c r="F3" s="72"/>
      <c r="G3" s="72"/>
      <c r="H3" s="72"/>
      <c r="I3" s="72"/>
      <c r="J3" s="72"/>
      <c r="K3" s="72"/>
      <c r="L3" s="71"/>
      <c r="M3" s="53"/>
      <c r="N3" s="40" t="s">
        <v>150</v>
      </c>
      <c r="O3" s="46" t="s">
        <v>152</v>
      </c>
    </row>
    <row r="4" spans="2:15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">
        <v>143</v>
      </c>
      <c r="J4" s="28" t="s">
        <v>143</v>
      </c>
      <c r="K4" s="28" t="str">
        <f>J4</f>
        <v>Teensy 3.6</v>
      </c>
      <c r="L4" s="28" t="str">
        <f>'NXP K66'!$C$6</f>
        <v>FRDM-K66F</v>
      </c>
      <c r="M4" s="53"/>
      <c r="N4" s="40" t="str">
        <f>J4</f>
        <v>Teensy 3.6</v>
      </c>
      <c r="O4" s="40" t="str">
        <f>N4</f>
        <v>Teensy 3.6</v>
      </c>
    </row>
    <row r="5" spans="2:15">
      <c r="B5" s="28"/>
      <c r="C5" s="28"/>
      <c r="D5" s="28" t="s">
        <v>142</v>
      </c>
      <c r="E5" s="28" t="s">
        <v>142</v>
      </c>
      <c r="F5" s="28" t="s">
        <v>142</v>
      </c>
      <c r="G5" s="28" t="s">
        <v>142</v>
      </c>
      <c r="H5" s="28" t="s">
        <v>142</v>
      </c>
      <c r="I5" s="28" t="s">
        <v>142</v>
      </c>
      <c r="J5" s="28" t="s">
        <v>144</v>
      </c>
      <c r="K5" s="28" t="s">
        <v>145</v>
      </c>
      <c r="L5" s="28" t="s">
        <v>142</v>
      </c>
      <c r="M5" s="53"/>
      <c r="N5" s="40" t="str">
        <f>K5</f>
        <v>CMSIS FIR Fast</v>
      </c>
      <c r="O5" s="40" t="str">
        <f>N5</f>
        <v>CMSIS FIR Fast</v>
      </c>
    </row>
    <row r="6" spans="2:15">
      <c r="B6" s="29" t="s">
        <v>90</v>
      </c>
      <c r="C6" s="29">
        <f>'Arduino Uno'!$B13</f>
        <v>16</v>
      </c>
      <c r="D6" s="30">
        <f>'Arduino Uno'!D13</f>
        <v>41</v>
      </c>
      <c r="E6" s="30">
        <f>'Arduino M0 Pro'!L12</f>
        <v>9.11</v>
      </c>
      <c r="F6" s="30">
        <f>Maple!F11</f>
        <v>6.45</v>
      </c>
      <c r="G6" s="30">
        <f>'Arduino Due'!F11</f>
        <v>6.49</v>
      </c>
      <c r="H6" s="30">
        <f>'Teensy 3.2'!E23</f>
        <v>1.99</v>
      </c>
      <c r="I6" s="30">
        <v>1.23</v>
      </c>
      <c r="J6" s="30">
        <v>0.91</v>
      </c>
      <c r="K6" s="30">
        <v>0.32</v>
      </c>
      <c r="L6" s="30">
        <f>'NXP K66'!E11</f>
        <v>1.4</v>
      </c>
      <c r="M6" s="54"/>
      <c r="N6" s="65">
        <f>K6*0.000001*$N$2</f>
        <v>57.6</v>
      </c>
      <c r="O6" s="65">
        <f>N6/$C6</f>
        <v>3.6</v>
      </c>
    </row>
    <row r="7" spans="2:15">
      <c r="B7" s="29" t="s">
        <v>90</v>
      </c>
      <c r="C7" s="29">
        <f>'Arduino Uno'!$B14</f>
        <v>32</v>
      </c>
      <c r="D7" s="30">
        <f>'Arduino Uno'!D14</f>
        <v>79</v>
      </c>
      <c r="E7" s="30">
        <f>'Arduino M0 Pro'!L13</f>
        <v>17.46</v>
      </c>
      <c r="F7" s="30">
        <f>Maple!F12</f>
        <v>12.47</v>
      </c>
      <c r="G7" s="30">
        <f>'Arduino Due'!F12</f>
        <v>12.6</v>
      </c>
      <c r="H7" s="30">
        <f>'Teensy 3.2'!E24</f>
        <v>3.82</v>
      </c>
      <c r="I7" s="30">
        <v>2.39</v>
      </c>
      <c r="J7" s="30">
        <v>1.59</v>
      </c>
      <c r="K7" s="30">
        <v>0.43</v>
      </c>
      <c r="L7" s="30">
        <f>'NXP K66'!E12</f>
        <v>2.8</v>
      </c>
      <c r="M7" s="54"/>
      <c r="N7" s="42">
        <f t="shared" ref="N7:N10" si="0">K7*0.000001*$N$2</f>
        <v>77.399999999999991</v>
      </c>
      <c r="O7" s="42">
        <f t="shared" ref="O7:O10" si="1">N7/$C7</f>
        <v>2.4187499999999997</v>
      </c>
    </row>
    <row r="8" spans="2:15">
      <c r="B8" s="29" t="s">
        <v>90</v>
      </c>
      <c r="C8" s="29">
        <f>'Arduino Uno'!$B15</f>
        <v>64</v>
      </c>
      <c r="D8" s="30">
        <f>'Arduino Uno'!D15</f>
        <v>155</v>
      </c>
      <c r="E8" s="30">
        <f>'Arduino M0 Pro'!L14</f>
        <v>34.15</v>
      </c>
      <c r="F8" s="30">
        <f>Maple!F13</f>
        <v>24.48</v>
      </c>
      <c r="G8" s="30">
        <f>'Arduino Due'!F13</f>
        <v>24.8</v>
      </c>
      <c r="H8" s="30">
        <f>'Teensy 3.2'!E25</f>
        <v>7.5</v>
      </c>
      <c r="I8" s="30">
        <v>4.7</v>
      </c>
      <c r="J8" s="30">
        <v>2.98</v>
      </c>
      <c r="K8" s="30">
        <v>0.68</v>
      </c>
      <c r="L8" s="30">
        <f>'NXP K66'!E13</f>
        <v>5.4</v>
      </c>
      <c r="M8" s="54"/>
      <c r="N8" s="42">
        <f t="shared" si="0"/>
        <v>122.4</v>
      </c>
      <c r="O8" s="42">
        <f t="shared" si="1"/>
        <v>1.9125000000000001</v>
      </c>
    </row>
    <row r="9" spans="2:15">
      <c r="B9" s="29" t="s">
        <v>90</v>
      </c>
      <c r="C9" s="29">
        <f>'Arduino Uno'!$B16</f>
        <v>128</v>
      </c>
      <c r="D9" s="30">
        <f>'Arduino Uno'!D16</f>
        <v>308</v>
      </c>
      <c r="E9" s="30">
        <f>'Arduino M0 Pro'!L15</f>
        <v>67.55</v>
      </c>
      <c r="F9" s="30">
        <f>Maple!F14</f>
        <v>48.53</v>
      </c>
      <c r="G9" s="30">
        <f>'Arduino Due'!F14</f>
        <v>49.21</v>
      </c>
      <c r="H9" s="30">
        <f>'Teensy 3.2'!E26</f>
        <v>14.85</v>
      </c>
      <c r="I9" s="30">
        <v>9.33</v>
      </c>
      <c r="J9" s="30">
        <v>5.8</v>
      </c>
      <c r="K9" s="30">
        <v>1.2</v>
      </c>
      <c r="L9" s="30">
        <f>'NXP K66'!E14</f>
        <v>10.7</v>
      </c>
      <c r="M9" s="54"/>
      <c r="N9" s="42">
        <f t="shared" si="0"/>
        <v>216</v>
      </c>
      <c r="O9" s="42">
        <f t="shared" si="1"/>
        <v>1.6875</v>
      </c>
    </row>
    <row r="10" spans="2:15">
      <c r="B10" s="29" t="s">
        <v>90</v>
      </c>
      <c r="C10" s="29">
        <f>'Arduino Uno'!$B17</f>
        <v>256</v>
      </c>
      <c r="D10" s="30">
        <f>'Arduino Uno'!D17</f>
        <v>612</v>
      </c>
      <c r="E10" s="30">
        <f>'Arduino M0 Pro'!L16</f>
        <v>134.35</v>
      </c>
      <c r="F10" s="30">
        <f>Maple!F15</f>
        <v>96.64</v>
      </c>
      <c r="G10" s="30">
        <f>'Arduino Due'!F15</f>
        <v>98.05</v>
      </c>
      <c r="H10" s="30">
        <f>'Teensy 3.2'!E27</f>
        <v>29.55</v>
      </c>
      <c r="I10" s="30">
        <v>18.559999999999999</v>
      </c>
      <c r="J10" s="30">
        <v>11.45</v>
      </c>
      <c r="K10" s="30">
        <v>2.27</v>
      </c>
      <c r="L10" s="30">
        <f>'NXP K66'!E15</f>
        <v>21.3</v>
      </c>
      <c r="M10" s="54"/>
      <c r="N10" s="42">
        <f t="shared" si="0"/>
        <v>408.59999999999997</v>
      </c>
      <c r="O10" s="42">
        <f t="shared" si="1"/>
        <v>1.5960937499999999</v>
      </c>
    </row>
    <row r="11" spans="2:15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3"/>
      <c r="M11" s="55"/>
      <c r="N11" s="41" t="s">
        <v>153</v>
      </c>
      <c r="O11" s="66">
        <f>AVERAGE(O7:O10)</f>
        <v>1.9037109374999999</v>
      </c>
    </row>
    <row r="12" spans="2:15">
      <c r="B12" s="28" t="str">
        <f>B4</f>
        <v>Type</v>
      </c>
      <c r="C12" s="28" t="str">
        <f>C4</f>
        <v>N of FIR</v>
      </c>
      <c r="D12" s="28" t="str">
        <f>'Arduino Uno'!$B$2</f>
        <v>Arduino Uno</v>
      </c>
      <c r="E12" s="28" t="str">
        <f>'Arduino M0 Pro'!$C$6</f>
        <v>Arduino M0</v>
      </c>
      <c r="F12" s="28" t="str">
        <f>Maple!$B$1</f>
        <v>Maple</v>
      </c>
      <c r="G12" s="28" t="str">
        <f>'Arduino Due'!$C$6</f>
        <v>Arduino Due</v>
      </c>
      <c r="H12" s="28" t="str">
        <f>H4</f>
        <v>Teensy 3.2</v>
      </c>
      <c r="I12" s="28" t="str">
        <f>I4</f>
        <v>Teensy 3.6</v>
      </c>
      <c r="J12" s="28" t="str">
        <f t="shared" ref="J12:K12" si="2">J4</f>
        <v>Teensy 3.6</v>
      </c>
      <c r="K12" s="28" t="str">
        <f t="shared" si="2"/>
        <v>Teensy 3.6</v>
      </c>
      <c r="L12" s="34" t="str">
        <f>'NXP K66'!$C$6</f>
        <v>FRDM-K66F</v>
      </c>
      <c r="M12" s="56"/>
      <c r="N12" s="40" t="str">
        <f>J12</f>
        <v>Teensy 3.6</v>
      </c>
      <c r="O12" s="40" t="str">
        <f>N12</f>
        <v>Teensy 3.6</v>
      </c>
    </row>
    <row r="13" spans="2:15">
      <c r="B13" s="28"/>
      <c r="C13" s="28"/>
      <c r="D13" s="28" t="str">
        <f>D5</f>
        <v>Naïve C</v>
      </c>
      <c r="E13" s="28" t="str">
        <f t="shared" ref="E13:L13" si="3">E5</f>
        <v>Naïve C</v>
      </c>
      <c r="F13" s="28" t="str">
        <f t="shared" si="3"/>
        <v>Naïve C</v>
      </c>
      <c r="G13" s="28" t="str">
        <f t="shared" si="3"/>
        <v>Naïve C</v>
      </c>
      <c r="H13" s="28" t="str">
        <f t="shared" si="3"/>
        <v>Naïve C</v>
      </c>
      <c r="I13" s="28" t="str">
        <f>I5</f>
        <v>Naïve C</v>
      </c>
      <c r="J13" s="28" t="str">
        <f t="shared" ref="J13:K13" si="4">J5</f>
        <v>CMSIS FIR</v>
      </c>
      <c r="K13" s="28" t="str">
        <f t="shared" si="4"/>
        <v>CMSIS FIR Fast</v>
      </c>
      <c r="L13" s="28" t="str">
        <f t="shared" si="3"/>
        <v>Naïve C</v>
      </c>
      <c r="M13" s="53"/>
      <c r="N13" s="40" t="str">
        <f>J13</f>
        <v>CMSIS FIR</v>
      </c>
      <c r="O13" s="40" t="str">
        <f>N13</f>
        <v>CMSIS FIR</v>
      </c>
    </row>
    <row r="14" spans="2:15">
      <c r="B14" s="29" t="s">
        <v>91</v>
      </c>
      <c r="C14" s="29">
        <f>'Arduino Uno'!B13</f>
        <v>16</v>
      </c>
      <c r="D14" s="30">
        <f>'Arduino Uno'!E13</f>
        <v>129</v>
      </c>
      <c r="E14" s="30">
        <f>'Arduino M0 Pro'!M12</f>
        <v>10.77</v>
      </c>
      <c r="F14" s="30">
        <f>Maple!E11</f>
        <v>5.55</v>
      </c>
      <c r="G14" s="30">
        <f>'Arduino Due'!E11</f>
        <v>6.49</v>
      </c>
      <c r="H14" s="30">
        <f>'Teensy 3.2'!E23</f>
        <v>1.99</v>
      </c>
      <c r="I14" s="30">
        <v>1.1299999999999999</v>
      </c>
      <c r="J14" s="30">
        <v>0.64</v>
      </c>
      <c r="K14" s="30">
        <v>1.19</v>
      </c>
      <c r="L14" s="30">
        <f>'NXP K66'!D11</f>
        <v>1.2</v>
      </c>
      <c r="M14" s="54"/>
      <c r="N14" s="65">
        <f t="shared" ref="N14:N26" si="5">J14*0.000001*$N$2</f>
        <v>115.2</v>
      </c>
      <c r="O14" s="65">
        <f t="shared" ref="O14:O18" si="6">N14/$C14</f>
        <v>7.2</v>
      </c>
    </row>
    <row r="15" spans="2:15">
      <c r="B15" s="29" t="s">
        <v>91</v>
      </c>
      <c r="C15" s="29">
        <f>'Arduino Uno'!B14</f>
        <v>32</v>
      </c>
      <c r="D15" s="30">
        <f>'Arduino Uno'!E14</f>
        <v>254</v>
      </c>
      <c r="E15" s="30">
        <f>'Arduino M0 Pro'!M13</f>
        <v>20.79</v>
      </c>
      <c r="F15" s="30">
        <f>Maple!E12</f>
        <v>10.66</v>
      </c>
      <c r="G15" s="30">
        <f>'Arduino Due'!E12</f>
        <v>12.6</v>
      </c>
      <c r="H15" s="30">
        <f>'Teensy 3.2'!E24</f>
        <v>3.82</v>
      </c>
      <c r="I15" s="30">
        <v>2.2000000000000002</v>
      </c>
      <c r="J15" s="30">
        <v>0.96</v>
      </c>
      <c r="K15" s="30">
        <v>2.1800000000000002</v>
      </c>
      <c r="L15" s="30">
        <f>'NXP K66'!D12</f>
        <v>2.4</v>
      </c>
      <c r="M15" s="54"/>
      <c r="N15" s="42">
        <f t="shared" si="5"/>
        <v>172.79999999999998</v>
      </c>
      <c r="O15" s="42">
        <f t="shared" si="6"/>
        <v>5.3999999999999995</v>
      </c>
    </row>
    <row r="16" spans="2:15">
      <c r="B16" s="29" t="s">
        <v>91</v>
      </c>
      <c r="C16" s="29">
        <f>'Arduino Uno'!B15</f>
        <v>64</v>
      </c>
      <c r="D16" s="30">
        <f>'Arduino Uno'!E15</f>
        <v>503</v>
      </c>
      <c r="E16" s="30">
        <f>'Arduino M0 Pro'!M14</f>
        <v>40.83</v>
      </c>
      <c r="F16" s="30">
        <f>Maple!E13</f>
        <v>20.91</v>
      </c>
      <c r="G16" s="30">
        <f>'Arduino Due'!E13</f>
        <v>24.8</v>
      </c>
      <c r="H16" s="30">
        <f>'Teensy 3.2'!E25</f>
        <v>7.5</v>
      </c>
      <c r="I16" s="30">
        <v>4.33</v>
      </c>
      <c r="J16" s="30">
        <v>1.62</v>
      </c>
      <c r="K16" s="30">
        <v>4.1900000000000004</v>
      </c>
      <c r="L16" s="30">
        <f>'NXP K66'!D13</f>
        <v>4.7</v>
      </c>
      <c r="M16" s="54"/>
      <c r="N16" s="42">
        <f t="shared" si="5"/>
        <v>291.59999999999997</v>
      </c>
      <c r="O16" s="42">
        <f t="shared" si="6"/>
        <v>4.5562499999999995</v>
      </c>
    </row>
    <row r="17" spans="2:15">
      <c r="B17" s="29" t="s">
        <v>91</v>
      </c>
      <c r="C17" s="29">
        <f>'Arduino Uno'!B16</f>
        <v>128</v>
      </c>
      <c r="D17" s="30">
        <f>'Arduino Uno'!E16</f>
        <v>1000</v>
      </c>
      <c r="E17" s="30">
        <f>'Arduino M0 Pro'!M15</f>
        <v>80.91</v>
      </c>
      <c r="F17" s="30">
        <f>Maple!E14</f>
        <v>41.39</v>
      </c>
      <c r="G17" s="30">
        <f>'Arduino Due'!E14</f>
        <v>49.21</v>
      </c>
      <c r="H17" s="30">
        <f>'Teensy 3.2'!E26</f>
        <v>14.85</v>
      </c>
      <c r="I17" s="30">
        <v>8.61</v>
      </c>
      <c r="J17" s="30">
        <v>2.99</v>
      </c>
      <c r="K17" s="30">
        <v>8.23</v>
      </c>
      <c r="L17" s="30">
        <f>'NXP K66'!D14</f>
        <v>9.3000000000000007</v>
      </c>
      <c r="M17" s="54"/>
      <c r="N17" s="42">
        <f t="shared" si="5"/>
        <v>538.20000000000005</v>
      </c>
      <c r="O17" s="42">
        <f t="shared" si="6"/>
        <v>4.2046875000000004</v>
      </c>
    </row>
    <row r="18" spans="2:15">
      <c r="B18" s="29" t="s">
        <v>91</v>
      </c>
      <c r="C18" s="29">
        <f>'Arduino Uno'!B17</f>
        <v>256</v>
      </c>
      <c r="D18" s="30"/>
      <c r="E18" s="30">
        <f>'Arduino M0 Pro'!M16</f>
        <v>161.06</v>
      </c>
      <c r="F18" s="30">
        <f>Maple!E15</f>
        <v>82.36</v>
      </c>
      <c r="G18" s="30">
        <f>'Arduino Due'!E15</f>
        <v>98.05</v>
      </c>
      <c r="H18" s="30">
        <f>'Teensy 3.2'!E27</f>
        <v>29.55</v>
      </c>
      <c r="I18" s="30">
        <v>17.100000000000001</v>
      </c>
      <c r="J18" s="30">
        <v>5.7</v>
      </c>
      <c r="K18" s="30">
        <v>16.32</v>
      </c>
      <c r="L18" s="30">
        <f>'NXP K66'!D15</f>
        <v>18.5</v>
      </c>
      <c r="M18" s="54"/>
      <c r="N18" s="42">
        <f t="shared" si="5"/>
        <v>1026</v>
      </c>
      <c r="O18" s="42">
        <f t="shared" si="6"/>
        <v>4.0078125</v>
      </c>
    </row>
    <row r="19" spans="2:15"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5"/>
      <c r="M19" s="55"/>
      <c r="N19" s="41" t="s">
        <v>153</v>
      </c>
      <c r="O19" s="66">
        <f>AVERAGE(O15:O18)</f>
        <v>4.5421874999999998</v>
      </c>
    </row>
    <row r="20" spans="2:15">
      <c r="B20" s="28" t="str">
        <f>B4</f>
        <v>Type</v>
      </c>
      <c r="C20" s="28" t="str">
        <f>C4</f>
        <v>N of FIR</v>
      </c>
      <c r="D20" s="28" t="str">
        <f>'Arduino Uno'!$B$2</f>
        <v>Arduino Uno</v>
      </c>
      <c r="E20" s="28" t="str">
        <f>'Arduino M0 Pro'!$C$6</f>
        <v>Arduino M0</v>
      </c>
      <c r="F20" s="28" t="str">
        <f>Maple!$B$1</f>
        <v>Maple</v>
      </c>
      <c r="G20" s="28" t="str">
        <f>'Arduino Due'!$C$6</f>
        <v>Arduino Due</v>
      </c>
      <c r="H20" s="28" t="str">
        <f>'Teensy 3.2'!$C$18</f>
        <v>Teensy 3.2</v>
      </c>
      <c r="I20" s="28" t="str">
        <f>I4</f>
        <v>Teensy 3.6</v>
      </c>
      <c r="J20" s="28" t="str">
        <f t="shared" ref="J20:L20" si="7">J4</f>
        <v>Teensy 3.6</v>
      </c>
      <c r="K20" s="28" t="str">
        <f t="shared" si="7"/>
        <v>Teensy 3.6</v>
      </c>
      <c r="L20" s="28" t="str">
        <f t="shared" si="7"/>
        <v>FRDM-K66F</v>
      </c>
      <c r="M20" s="53"/>
      <c r="N20" s="40" t="str">
        <f>J20</f>
        <v>Teensy 3.6</v>
      </c>
      <c r="O20" s="40" t="str">
        <f>N20</f>
        <v>Teensy 3.6</v>
      </c>
    </row>
    <row r="21" spans="2:15">
      <c r="B21" s="28"/>
      <c r="C21" s="28"/>
      <c r="D21" s="28" t="str">
        <f>D5</f>
        <v>Naïve C</v>
      </c>
      <c r="E21" s="28" t="str">
        <f t="shared" ref="E21:H21" si="8">E5</f>
        <v>Naïve C</v>
      </c>
      <c r="F21" s="28" t="str">
        <f t="shared" si="8"/>
        <v>Naïve C</v>
      </c>
      <c r="G21" s="28" t="str">
        <f t="shared" si="8"/>
        <v>Naïve C</v>
      </c>
      <c r="H21" s="28" t="str">
        <f t="shared" si="8"/>
        <v>Naïve C</v>
      </c>
      <c r="I21" s="28" t="str">
        <f>I5</f>
        <v>Naïve C</v>
      </c>
      <c r="J21" s="28" t="str">
        <f t="shared" ref="J21:L21" si="9">J5</f>
        <v>CMSIS FIR</v>
      </c>
      <c r="K21" s="28" t="str">
        <f t="shared" si="9"/>
        <v>CMSIS FIR Fast</v>
      </c>
      <c r="L21" s="28" t="str">
        <f t="shared" si="9"/>
        <v>Naïve C</v>
      </c>
      <c r="M21" s="53"/>
      <c r="N21" s="40" t="str">
        <f>J21</f>
        <v>CMSIS FIR</v>
      </c>
      <c r="O21" s="40" t="str">
        <f>N21</f>
        <v>CMSIS FIR</v>
      </c>
    </row>
    <row r="22" spans="2:15">
      <c r="B22" s="29" t="s">
        <v>92</v>
      </c>
      <c r="C22" s="29">
        <f>'Arduino Uno'!B13</f>
        <v>16</v>
      </c>
      <c r="D22" s="30">
        <f>'Arduino Uno'!C13</f>
        <v>311</v>
      </c>
      <c r="E22" s="30">
        <f>'Arduino M0 Pro'!K12</f>
        <v>114.83</v>
      </c>
      <c r="F22" s="30">
        <f>Maple!D11</f>
        <v>39.39</v>
      </c>
      <c r="G22" s="30">
        <f>'Arduino Due'!D11</f>
        <v>35.69</v>
      </c>
      <c r="H22" s="30">
        <f>'Teensy 3.2'!D23</f>
        <v>30.53</v>
      </c>
      <c r="I22" s="30">
        <v>1.53</v>
      </c>
      <c r="J22" s="30">
        <v>0.44</v>
      </c>
      <c r="K22" s="30"/>
      <c r="L22" s="30">
        <f>'NXP K66'!C11</f>
        <v>1.3</v>
      </c>
      <c r="M22" s="54"/>
      <c r="N22" s="65">
        <f t="shared" si="5"/>
        <v>79.199999999999989</v>
      </c>
      <c r="O22" s="65">
        <f t="shared" ref="O22:O26" si="10">N22/$C22</f>
        <v>4.9499999999999993</v>
      </c>
    </row>
    <row r="23" spans="2:15">
      <c r="B23" s="29" t="s">
        <v>92</v>
      </c>
      <c r="C23" s="29">
        <f>'Arduino Uno'!B14</f>
        <v>32</v>
      </c>
      <c r="D23" s="30">
        <f>'Arduino Uno'!C14</f>
        <v>622</v>
      </c>
      <c r="E23" s="30">
        <f>'Arduino M0 Pro'!K13</f>
        <v>226.47</v>
      </c>
      <c r="F23" s="30">
        <f>Maple!D12</f>
        <v>77.59</v>
      </c>
      <c r="G23" s="30">
        <f>'Arduino Due'!D12</f>
        <v>71.64</v>
      </c>
      <c r="H23" s="30">
        <f>'Teensy 3.2'!D24</f>
        <v>62.01</v>
      </c>
      <c r="I23" s="30">
        <v>2.95</v>
      </c>
      <c r="J23" s="30">
        <v>0.72</v>
      </c>
      <c r="K23" s="30"/>
      <c r="L23" s="30">
        <f>'NXP K66'!C12</f>
        <v>2.7</v>
      </c>
      <c r="M23" s="54"/>
      <c r="N23" s="42">
        <f>J23*0.000001*$N$2</f>
        <v>129.6</v>
      </c>
      <c r="O23" s="42">
        <f t="shared" si="10"/>
        <v>4.05</v>
      </c>
    </row>
    <row r="24" spans="2:15">
      <c r="B24" s="29" t="s">
        <v>92</v>
      </c>
      <c r="C24" s="29">
        <f>'Arduino Uno'!B15</f>
        <v>64</v>
      </c>
      <c r="D24" s="30">
        <f>'Arduino Uno'!C15</f>
        <v>1270</v>
      </c>
      <c r="E24" s="30">
        <f>'Arduino M0 Pro'!K14</f>
        <v>446.45</v>
      </c>
      <c r="F24" s="30">
        <f>Maple!D13</f>
        <v>153.84</v>
      </c>
      <c r="G24" s="30">
        <f>'Arduino Due'!D13</f>
        <v>143.43</v>
      </c>
      <c r="H24" s="30">
        <f>'Teensy 3.2'!D25</f>
        <v>124.89</v>
      </c>
      <c r="I24" s="30">
        <v>5.8</v>
      </c>
      <c r="J24" s="30">
        <v>1.32</v>
      </c>
      <c r="K24" s="30"/>
      <c r="L24" s="30">
        <f>'NXP K66'!C13</f>
        <v>5</v>
      </c>
      <c r="M24" s="54"/>
      <c r="N24" s="42">
        <f t="shared" si="5"/>
        <v>237.60000000000002</v>
      </c>
      <c r="O24" s="42">
        <f t="shared" si="10"/>
        <v>3.7125000000000004</v>
      </c>
    </row>
    <row r="25" spans="2:15">
      <c r="B25" s="29" t="s">
        <v>92</v>
      </c>
      <c r="C25" s="29">
        <f>'Arduino Uno'!B16</f>
        <v>128</v>
      </c>
      <c r="D25" s="30">
        <f>'Arduino Uno'!C16</f>
        <v>2522</v>
      </c>
      <c r="E25" s="30">
        <f>'Arduino M0 Pro'!K15</f>
        <v>892.74</v>
      </c>
      <c r="F25" s="30">
        <f>Maple!D14</f>
        <v>306.20999999999998</v>
      </c>
      <c r="G25" s="30">
        <f>'Arduino Due'!D14</f>
        <v>286.93</v>
      </c>
      <c r="H25" s="30">
        <f>'Teensy 3.2'!D26</f>
        <v>250.57</v>
      </c>
      <c r="I25" s="30">
        <v>11.49</v>
      </c>
      <c r="J25" s="30">
        <v>2.5299999999999998</v>
      </c>
      <c r="K25" s="30"/>
      <c r="L25" s="30">
        <f>'NXP K66'!C14</f>
        <v>10</v>
      </c>
      <c r="M25" s="54"/>
      <c r="N25" s="42">
        <f t="shared" si="5"/>
        <v>455.39999999999992</v>
      </c>
      <c r="O25" s="42">
        <f t="shared" si="10"/>
        <v>3.5578124999999994</v>
      </c>
    </row>
    <row r="26" spans="2:15">
      <c r="B26" s="29" t="s">
        <v>92</v>
      </c>
      <c r="C26" s="29">
        <f>'Arduino Uno'!B17</f>
        <v>256</v>
      </c>
      <c r="D26" s="30"/>
      <c r="E26" s="30">
        <f>'Arduino M0 Pro'!K16</f>
        <v>1783.68</v>
      </c>
      <c r="F26" s="30">
        <f>Maple!D15</f>
        <v>610.84</v>
      </c>
      <c r="G26" s="30">
        <f>'Arduino Due'!D15</f>
        <v>573.83000000000004</v>
      </c>
      <c r="H26" s="30">
        <f>'Teensy 3.2'!D27</f>
        <v>501.85</v>
      </c>
      <c r="I26" s="30">
        <v>22.8</v>
      </c>
      <c r="J26" s="30">
        <v>4.97</v>
      </c>
      <c r="K26" s="30"/>
      <c r="L26" s="30">
        <f>'NXP K66'!C15</f>
        <v>19.899999999999999</v>
      </c>
      <c r="M26" s="54"/>
      <c r="N26" s="42">
        <f t="shared" si="5"/>
        <v>894.6</v>
      </c>
      <c r="O26" s="42">
        <f t="shared" si="10"/>
        <v>3.4945312500000001</v>
      </c>
    </row>
    <row r="27" spans="2:15">
      <c r="N27" s="41" t="s">
        <v>153</v>
      </c>
      <c r="O27" s="66">
        <f>AVERAGE(O23:O26)</f>
        <v>3.7037109374999999</v>
      </c>
    </row>
    <row r="29" spans="2:15" ht="18.75">
      <c r="B29" s="69" t="str">
        <f>B2</f>
        <v>FIR Performance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52"/>
      <c r="N29" s="40"/>
      <c r="O29" s="40"/>
    </row>
    <row r="30" spans="2:15">
      <c r="B30" s="70" t="s">
        <v>93</v>
      </c>
      <c r="C30" s="71"/>
      <c r="D30" s="70" t="s">
        <v>138</v>
      </c>
      <c r="E30" s="72"/>
      <c r="F30" s="72"/>
      <c r="G30" s="72"/>
      <c r="H30" s="72"/>
      <c r="I30" s="72"/>
      <c r="J30" s="72"/>
      <c r="K30" s="72"/>
      <c r="L30" s="71"/>
      <c r="M30" s="53"/>
      <c r="N30" s="40"/>
      <c r="O30" s="40"/>
    </row>
    <row r="31" spans="2:15">
      <c r="B31" s="17" t="str">
        <f>B4</f>
        <v>Type</v>
      </c>
      <c r="C31" s="17" t="str">
        <f t="shared" ref="C31:L31" si="11">C4</f>
        <v>N of FIR</v>
      </c>
      <c r="D31" s="20" t="str">
        <f t="shared" si="11"/>
        <v>Arduino Uno</v>
      </c>
      <c r="E31" s="20" t="str">
        <f t="shared" si="11"/>
        <v>Arduino M0</v>
      </c>
      <c r="F31" s="20" t="str">
        <f t="shared" si="11"/>
        <v>Maple</v>
      </c>
      <c r="G31" s="20" t="str">
        <f t="shared" si="11"/>
        <v>Arduino Due</v>
      </c>
      <c r="H31" s="20" t="str">
        <f t="shared" si="11"/>
        <v>Teensy 3.2</v>
      </c>
      <c r="I31" s="20" t="str">
        <f t="shared" ref="I31:K31" si="12">I4</f>
        <v>Teensy 3.6</v>
      </c>
      <c r="J31" s="20" t="str">
        <f t="shared" si="12"/>
        <v>Teensy 3.6</v>
      </c>
      <c r="K31" s="20" t="str">
        <f t="shared" si="12"/>
        <v>Teensy 3.6</v>
      </c>
      <c r="L31" s="20" t="str">
        <f t="shared" si="11"/>
        <v>FRDM-K66F</v>
      </c>
      <c r="M31" s="58"/>
      <c r="N31" s="43"/>
      <c r="O31" s="43"/>
    </row>
    <row r="32" spans="2:15">
      <c r="B32" s="17"/>
      <c r="C32" s="17"/>
      <c r="D32" s="20" t="str">
        <f>D5</f>
        <v>Naïve C</v>
      </c>
      <c r="E32" s="20" t="str">
        <f t="shared" ref="E32:L32" si="13">E5</f>
        <v>Naïve C</v>
      </c>
      <c r="F32" s="20" t="str">
        <f t="shared" si="13"/>
        <v>Naïve C</v>
      </c>
      <c r="G32" s="20" t="str">
        <f t="shared" si="13"/>
        <v>Naïve C</v>
      </c>
      <c r="H32" s="20" t="str">
        <f t="shared" si="13"/>
        <v>Naïve C</v>
      </c>
      <c r="I32" s="20" t="str">
        <f t="shared" si="13"/>
        <v>Naïve C</v>
      </c>
      <c r="J32" s="20" t="str">
        <f t="shared" si="13"/>
        <v>CMSIS FIR</v>
      </c>
      <c r="K32" s="20" t="str">
        <f t="shared" si="13"/>
        <v>CMSIS FIR Fast</v>
      </c>
      <c r="L32" s="20" t="str">
        <f t="shared" si="13"/>
        <v>Naïve C</v>
      </c>
      <c r="M32" s="58"/>
      <c r="N32" s="43"/>
      <c r="O32" s="43"/>
    </row>
    <row r="33" spans="2:15">
      <c r="B33" s="16" t="str">
        <f t="shared" ref="B33:C37" si="14">B6</f>
        <v>Int16</v>
      </c>
      <c r="C33" s="16">
        <f t="shared" si="14"/>
        <v>16</v>
      </c>
      <c r="D33" s="21">
        <f>1000000/D6</f>
        <v>24390.243902439026</v>
      </c>
      <c r="E33" s="21">
        <f t="shared" ref="E33:L33" si="15">1000000/E6</f>
        <v>109769.48408342482</v>
      </c>
      <c r="F33" s="21">
        <f t="shared" si="15"/>
        <v>155038.75968992247</v>
      </c>
      <c r="G33" s="21">
        <f t="shared" si="15"/>
        <v>154083.20493066256</v>
      </c>
      <c r="H33" s="21">
        <f t="shared" si="15"/>
        <v>502512.56281407038</v>
      </c>
      <c r="I33" s="21">
        <f t="shared" ref="I33:K33" si="16">1000000/I6</f>
        <v>813008.13008130086</v>
      </c>
      <c r="J33" s="21">
        <f t="shared" si="16"/>
        <v>1098901.0989010988</v>
      </c>
      <c r="K33" s="21">
        <f t="shared" si="16"/>
        <v>3125000</v>
      </c>
      <c r="L33" s="21">
        <f t="shared" si="15"/>
        <v>714285.71428571432</v>
      </c>
      <c r="M33" s="59"/>
      <c r="N33" s="44"/>
      <c r="O33" s="44"/>
    </row>
    <row r="34" spans="2:15">
      <c r="B34" s="16" t="str">
        <f t="shared" si="14"/>
        <v>Int16</v>
      </c>
      <c r="C34" s="16">
        <f t="shared" si="14"/>
        <v>32</v>
      </c>
      <c r="D34" s="21">
        <f>1000000/D7</f>
        <v>12658.227848101265</v>
      </c>
      <c r="E34" s="21">
        <f t="shared" ref="E34:H37" si="17">1000000/E7</f>
        <v>57273.768613974797</v>
      </c>
      <c r="F34" s="21">
        <f t="shared" si="17"/>
        <v>80192.46190858059</v>
      </c>
      <c r="G34" s="21">
        <f t="shared" si="17"/>
        <v>79365.079365079364</v>
      </c>
      <c r="H34" s="21">
        <f t="shared" si="17"/>
        <v>261780.10471204191</v>
      </c>
      <c r="I34" s="21">
        <f t="shared" ref="I34:K34" si="18">1000000/I7</f>
        <v>418410.04184100416</v>
      </c>
      <c r="J34" s="21">
        <f t="shared" si="18"/>
        <v>628930.81761006289</v>
      </c>
      <c r="K34" s="21">
        <f t="shared" si="18"/>
        <v>2325581.3953488371</v>
      </c>
      <c r="L34" s="21">
        <f>1000000/L7</f>
        <v>357142.85714285716</v>
      </c>
      <c r="M34" s="59"/>
      <c r="N34" s="44"/>
      <c r="O34" s="44"/>
    </row>
    <row r="35" spans="2:15">
      <c r="B35" s="16" t="str">
        <f t="shared" si="14"/>
        <v>Int16</v>
      </c>
      <c r="C35" s="16">
        <f t="shared" si="14"/>
        <v>64</v>
      </c>
      <c r="D35" s="21">
        <f>1000000/D8</f>
        <v>6451.6129032258068</v>
      </c>
      <c r="E35" s="21">
        <f t="shared" si="17"/>
        <v>29282.576866764277</v>
      </c>
      <c r="F35" s="21">
        <f t="shared" si="17"/>
        <v>40849.67320261438</v>
      </c>
      <c r="G35" s="21">
        <f t="shared" si="17"/>
        <v>40322.580645161288</v>
      </c>
      <c r="H35" s="21">
        <f t="shared" si="17"/>
        <v>133333.33333333334</v>
      </c>
      <c r="I35" s="21">
        <f t="shared" ref="I35:K35" si="19">1000000/I8</f>
        <v>212765.95744680849</v>
      </c>
      <c r="J35" s="21">
        <f t="shared" si="19"/>
        <v>335570.46979865769</v>
      </c>
      <c r="K35" s="21">
        <f t="shared" si="19"/>
        <v>1470588.2352941176</v>
      </c>
      <c r="L35" s="21">
        <f>1000000/L8</f>
        <v>185185.18518518517</v>
      </c>
      <c r="M35" s="59"/>
      <c r="N35" s="44"/>
      <c r="O35" s="44"/>
    </row>
    <row r="36" spans="2:15">
      <c r="B36" s="16" t="str">
        <f t="shared" si="14"/>
        <v>Int16</v>
      </c>
      <c r="C36" s="16">
        <f t="shared" si="14"/>
        <v>128</v>
      </c>
      <c r="D36" s="21">
        <f>1000000/D9</f>
        <v>3246.7532467532469</v>
      </c>
      <c r="E36" s="21">
        <f t="shared" si="17"/>
        <v>14803.849000740192</v>
      </c>
      <c r="F36" s="21">
        <f t="shared" si="17"/>
        <v>20605.8108386565</v>
      </c>
      <c r="G36" s="21">
        <f t="shared" si="17"/>
        <v>20321.072952651899</v>
      </c>
      <c r="H36" s="21">
        <f t="shared" si="17"/>
        <v>67340.06734006734</v>
      </c>
      <c r="I36" s="21">
        <f t="shared" ref="I36:K36" si="20">1000000/I9</f>
        <v>107181.13612004287</v>
      </c>
      <c r="J36" s="21">
        <f t="shared" si="20"/>
        <v>172413.79310344829</v>
      </c>
      <c r="K36" s="21">
        <f t="shared" si="20"/>
        <v>833333.33333333337</v>
      </c>
      <c r="L36" s="21">
        <f>1000000/L9</f>
        <v>93457.943925233645</v>
      </c>
      <c r="M36" s="59"/>
      <c r="N36" s="44"/>
      <c r="O36" s="44"/>
    </row>
    <row r="37" spans="2:15">
      <c r="B37" s="16" t="str">
        <f t="shared" si="14"/>
        <v>Int16</v>
      </c>
      <c r="C37" s="16">
        <f t="shared" si="14"/>
        <v>256</v>
      </c>
      <c r="D37" s="21">
        <f>1000000/D10</f>
        <v>1633.9869281045751</v>
      </c>
      <c r="E37" s="21">
        <f t="shared" si="17"/>
        <v>7443.2452549311502</v>
      </c>
      <c r="F37" s="21">
        <f t="shared" si="17"/>
        <v>10347.682119205298</v>
      </c>
      <c r="G37" s="21">
        <f t="shared" si="17"/>
        <v>10198.878123406426</v>
      </c>
      <c r="H37" s="21">
        <f t="shared" si="17"/>
        <v>33840.947546531301</v>
      </c>
      <c r="I37" s="21">
        <f t="shared" ref="I37:K37" si="21">1000000/I10</f>
        <v>53879.310344827587</v>
      </c>
      <c r="J37" s="21">
        <f t="shared" si="21"/>
        <v>87336.244541484717</v>
      </c>
      <c r="K37" s="21">
        <f t="shared" si="21"/>
        <v>440528.6343612335</v>
      </c>
      <c r="L37" s="21">
        <f>1000000/L10</f>
        <v>46948.356807511736</v>
      </c>
      <c r="M37" s="59"/>
      <c r="N37" s="44"/>
      <c r="O37" s="44"/>
    </row>
    <row r="38" spans="2:15">
      <c r="B38" s="18"/>
      <c r="C38" s="19"/>
      <c r="D38" s="22"/>
      <c r="E38" s="22"/>
      <c r="F38" s="22"/>
      <c r="G38" s="22"/>
      <c r="H38" s="22"/>
      <c r="I38" s="22"/>
      <c r="J38" s="22"/>
      <c r="K38" s="22"/>
      <c r="L38" s="23"/>
      <c r="M38" s="59"/>
      <c r="N38" s="45"/>
      <c r="O38" s="45"/>
    </row>
    <row r="39" spans="2:15">
      <c r="B39" s="17" t="str">
        <f>B12</f>
        <v>Type</v>
      </c>
      <c r="C39" s="17" t="str">
        <f>C12</f>
        <v>N of FIR</v>
      </c>
      <c r="D39" s="24" t="str">
        <f>D12</f>
        <v>Arduino Uno</v>
      </c>
      <c r="E39" s="24" t="str">
        <f t="shared" ref="E39:L39" si="22">E12</f>
        <v>Arduino M0</v>
      </c>
      <c r="F39" s="24" t="str">
        <f t="shared" si="22"/>
        <v>Maple</v>
      </c>
      <c r="G39" s="24" t="str">
        <f t="shared" si="22"/>
        <v>Arduino Due</v>
      </c>
      <c r="H39" s="24" t="str">
        <f t="shared" si="22"/>
        <v>Teensy 3.2</v>
      </c>
      <c r="I39" s="24" t="str">
        <f t="shared" ref="I39:K39" si="23">I12</f>
        <v>Teensy 3.6</v>
      </c>
      <c r="J39" s="24" t="str">
        <f t="shared" si="23"/>
        <v>Teensy 3.6</v>
      </c>
      <c r="K39" s="24" t="str">
        <f t="shared" si="23"/>
        <v>Teensy 3.6</v>
      </c>
      <c r="L39" s="24" t="str">
        <f t="shared" si="22"/>
        <v>FRDM-K66F</v>
      </c>
      <c r="M39" s="60"/>
      <c r="N39" s="44"/>
      <c r="O39" s="44"/>
    </row>
    <row r="40" spans="2:15">
      <c r="B40" s="16" t="str">
        <f t="shared" ref="B40:C44" si="24">B14</f>
        <v>Int32</v>
      </c>
      <c r="C40" s="16">
        <f t="shared" si="24"/>
        <v>16</v>
      </c>
      <c r="D40" s="21">
        <f t="shared" ref="D40:H43" si="25">1000000/D14</f>
        <v>7751.937984496124</v>
      </c>
      <c r="E40" s="21">
        <f t="shared" si="25"/>
        <v>92850.510677808736</v>
      </c>
      <c r="F40" s="21">
        <f t="shared" si="25"/>
        <v>180180.18018018018</v>
      </c>
      <c r="G40" s="21">
        <f t="shared" si="25"/>
        <v>154083.20493066256</v>
      </c>
      <c r="H40" s="21">
        <f t="shared" si="25"/>
        <v>502512.56281407038</v>
      </c>
      <c r="I40" s="21">
        <f t="shared" ref="I40:K40" si="26">1000000/I14</f>
        <v>884955.75221238949</v>
      </c>
      <c r="J40" s="21">
        <f t="shared" si="26"/>
        <v>1562500</v>
      </c>
      <c r="K40" s="21">
        <f t="shared" si="26"/>
        <v>840336.13445378153</v>
      </c>
      <c r="L40" s="21">
        <f>1000000/L14</f>
        <v>833333.33333333337</v>
      </c>
      <c r="M40" s="59"/>
      <c r="N40" s="44"/>
      <c r="O40" s="44"/>
    </row>
    <row r="41" spans="2:15">
      <c r="B41" s="16" t="str">
        <f t="shared" si="24"/>
        <v>Int32</v>
      </c>
      <c r="C41" s="16">
        <f t="shared" si="24"/>
        <v>32</v>
      </c>
      <c r="D41" s="21">
        <f t="shared" si="25"/>
        <v>3937.0078740157483</v>
      </c>
      <c r="E41" s="21">
        <f t="shared" si="25"/>
        <v>48100.048100048101</v>
      </c>
      <c r="F41" s="21">
        <f t="shared" si="25"/>
        <v>93808.630393996253</v>
      </c>
      <c r="G41" s="21">
        <f t="shared" si="25"/>
        <v>79365.079365079364</v>
      </c>
      <c r="H41" s="21">
        <f t="shared" si="25"/>
        <v>261780.10471204191</v>
      </c>
      <c r="I41" s="21">
        <f t="shared" ref="I41:K41" si="27">1000000/I15</f>
        <v>454545.45454545453</v>
      </c>
      <c r="J41" s="21">
        <f t="shared" si="27"/>
        <v>1041666.6666666667</v>
      </c>
      <c r="K41" s="21">
        <f t="shared" si="27"/>
        <v>458715.59633027518</v>
      </c>
      <c r="L41" s="21">
        <f>1000000/L15</f>
        <v>416666.66666666669</v>
      </c>
      <c r="M41" s="59"/>
      <c r="N41" s="44"/>
      <c r="O41" s="44"/>
    </row>
    <row r="42" spans="2:15">
      <c r="B42" s="16" t="str">
        <f t="shared" si="24"/>
        <v>Int32</v>
      </c>
      <c r="C42" s="16">
        <f t="shared" si="24"/>
        <v>64</v>
      </c>
      <c r="D42" s="21">
        <f t="shared" si="25"/>
        <v>1988.0715705765408</v>
      </c>
      <c r="E42" s="21">
        <f t="shared" si="25"/>
        <v>24491.795248591723</v>
      </c>
      <c r="F42" s="21">
        <f t="shared" si="25"/>
        <v>47824.007651841224</v>
      </c>
      <c r="G42" s="21">
        <f t="shared" si="25"/>
        <v>40322.580645161288</v>
      </c>
      <c r="H42" s="21">
        <f t="shared" si="25"/>
        <v>133333.33333333334</v>
      </c>
      <c r="I42" s="21">
        <f t="shared" ref="I42:K42" si="28">1000000/I16</f>
        <v>230946.88221709005</v>
      </c>
      <c r="J42" s="21">
        <f t="shared" si="28"/>
        <v>617283.95061728393</v>
      </c>
      <c r="K42" s="21">
        <f t="shared" si="28"/>
        <v>238663.48448687349</v>
      </c>
      <c r="L42" s="21">
        <f>1000000/L16</f>
        <v>212765.95744680849</v>
      </c>
      <c r="M42" s="59"/>
      <c r="N42" s="44"/>
      <c r="O42" s="44"/>
    </row>
    <row r="43" spans="2:15">
      <c r="B43" s="16" t="str">
        <f t="shared" si="24"/>
        <v>Int32</v>
      </c>
      <c r="C43" s="16">
        <f t="shared" si="24"/>
        <v>128</v>
      </c>
      <c r="D43" s="21">
        <f t="shared" si="25"/>
        <v>1000</v>
      </c>
      <c r="E43" s="21">
        <f t="shared" si="25"/>
        <v>12359.411692003461</v>
      </c>
      <c r="F43" s="21">
        <f t="shared" si="25"/>
        <v>24160.425223483933</v>
      </c>
      <c r="G43" s="21">
        <f t="shared" si="25"/>
        <v>20321.072952651899</v>
      </c>
      <c r="H43" s="21">
        <f t="shared" si="25"/>
        <v>67340.06734006734</v>
      </c>
      <c r="I43" s="21">
        <f t="shared" ref="I43:K43" si="29">1000000/I17</f>
        <v>116144.01858304298</v>
      </c>
      <c r="J43" s="21">
        <f t="shared" si="29"/>
        <v>334448.16053511703</v>
      </c>
      <c r="K43" s="21">
        <f t="shared" si="29"/>
        <v>121506.68286755771</v>
      </c>
      <c r="L43" s="21">
        <f>1000000/L17</f>
        <v>107526.8817204301</v>
      </c>
      <c r="M43" s="59"/>
      <c r="N43" s="44"/>
      <c r="O43" s="44"/>
    </row>
    <row r="44" spans="2:15">
      <c r="B44" s="16" t="str">
        <f t="shared" si="24"/>
        <v>Int32</v>
      </c>
      <c r="C44" s="16">
        <f t="shared" si="24"/>
        <v>256</v>
      </c>
      <c r="D44" s="21"/>
      <c r="E44" s="21">
        <f>1000000/E18</f>
        <v>6208.8662610207375</v>
      </c>
      <c r="F44" s="21">
        <f>1000000/F18</f>
        <v>12141.816415735793</v>
      </c>
      <c r="G44" s="21">
        <f>1000000/G18</f>
        <v>10198.878123406426</v>
      </c>
      <c r="H44" s="21">
        <f>1000000/H18</f>
        <v>33840.947546531301</v>
      </c>
      <c r="I44" s="21">
        <f t="shared" ref="I44:K44" si="30">1000000/I18</f>
        <v>58479.532163742682</v>
      </c>
      <c r="J44" s="21">
        <f t="shared" si="30"/>
        <v>175438.59649122806</v>
      </c>
      <c r="K44" s="21">
        <f t="shared" si="30"/>
        <v>61274.509803921566</v>
      </c>
      <c r="L44" s="21">
        <f>1000000/L18</f>
        <v>54054.054054054053</v>
      </c>
      <c r="M44" s="59"/>
      <c r="N44" s="44"/>
      <c r="O44" s="44"/>
    </row>
    <row r="45" spans="2:15">
      <c r="B45" s="18"/>
      <c r="C45" s="19"/>
      <c r="D45" s="22"/>
      <c r="E45" s="22"/>
      <c r="F45" s="22"/>
      <c r="G45" s="22"/>
      <c r="H45" s="22"/>
      <c r="I45" s="22"/>
      <c r="J45" s="22"/>
      <c r="K45" s="22"/>
      <c r="L45" s="23"/>
      <c r="M45" s="59"/>
      <c r="N45" s="45"/>
      <c r="O45" s="45"/>
    </row>
    <row r="46" spans="2:15">
      <c r="B46" s="17" t="str">
        <f>B20</f>
        <v>Type</v>
      </c>
      <c r="C46" s="17" t="str">
        <f>C20</f>
        <v>N of FIR</v>
      </c>
      <c r="D46" s="24" t="str">
        <f>D20</f>
        <v>Arduino Uno</v>
      </c>
      <c r="E46" s="24" t="str">
        <f t="shared" ref="E46:L46" si="31">E20</f>
        <v>Arduino M0</v>
      </c>
      <c r="F46" s="24" t="str">
        <f t="shared" si="31"/>
        <v>Maple</v>
      </c>
      <c r="G46" s="24" t="str">
        <f t="shared" si="31"/>
        <v>Arduino Due</v>
      </c>
      <c r="H46" s="24" t="str">
        <f t="shared" si="31"/>
        <v>Teensy 3.2</v>
      </c>
      <c r="I46" s="24" t="str">
        <f>I20</f>
        <v>Teensy 3.6</v>
      </c>
      <c r="J46" s="24" t="str">
        <f>J20</f>
        <v>Teensy 3.6</v>
      </c>
      <c r="K46" s="24"/>
      <c r="L46" s="24" t="str">
        <f t="shared" si="31"/>
        <v>FRDM-K66F</v>
      </c>
      <c r="M46" s="60"/>
      <c r="N46" s="44"/>
      <c r="O46" s="44"/>
    </row>
    <row r="47" spans="2:15">
      <c r="B47" s="16" t="str">
        <f t="shared" ref="B47:C51" si="32">B22</f>
        <v>Float32</v>
      </c>
      <c r="C47" s="16">
        <f t="shared" si="32"/>
        <v>16</v>
      </c>
      <c r="D47" s="21">
        <f t="shared" ref="D47:J50" si="33">1000000/D22</f>
        <v>3215.4340836012861</v>
      </c>
      <c r="E47" s="21">
        <f t="shared" si="33"/>
        <v>8708.52564660803</v>
      </c>
      <c r="F47" s="21">
        <f t="shared" si="33"/>
        <v>25387.154100025386</v>
      </c>
      <c r="G47" s="21">
        <f t="shared" si="33"/>
        <v>28019.052956010088</v>
      </c>
      <c r="H47" s="21">
        <f t="shared" si="33"/>
        <v>32754.667540124465</v>
      </c>
      <c r="I47" s="21">
        <f t="shared" si="33"/>
        <v>653594.77124183008</v>
      </c>
      <c r="J47" s="21">
        <f t="shared" si="33"/>
        <v>2272727.2727272729</v>
      </c>
      <c r="K47" s="21"/>
      <c r="L47" s="21">
        <f>1000000/L22</f>
        <v>769230.76923076925</v>
      </c>
      <c r="M47" s="59"/>
      <c r="N47" s="44"/>
      <c r="O47" s="44"/>
    </row>
    <row r="48" spans="2:15">
      <c r="B48" s="16" t="str">
        <f t="shared" si="32"/>
        <v>Float32</v>
      </c>
      <c r="C48" s="16">
        <f t="shared" si="32"/>
        <v>32</v>
      </c>
      <c r="D48" s="21">
        <f t="shared" si="33"/>
        <v>1607.7170418006431</v>
      </c>
      <c r="E48" s="21">
        <f t="shared" si="33"/>
        <v>4415.5958846646354</v>
      </c>
      <c r="F48" s="21">
        <f t="shared" si="33"/>
        <v>12888.258796236629</v>
      </c>
      <c r="G48" s="21">
        <f t="shared" si="33"/>
        <v>13958.682300390843</v>
      </c>
      <c r="H48" s="21">
        <f t="shared" si="33"/>
        <v>16126.431220770844</v>
      </c>
      <c r="I48" s="21">
        <f t="shared" si="33"/>
        <v>338983.05084745761</v>
      </c>
      <c r="J48" s="21">
        <f t="shared" si="33"/>
        <v>1388888.888888889</v>
      </c>
      <c r="K48" s="21"/>
      <c r="L48" s="21">
        <f>1000000/L23</f>
        <v>370370.37037037034</v>
      </c>
      <c r="M48" s="59"/>
      <c r="N48" s="44"/>
      <c r="O48" s="44"/>
    </row>
    <row r="49" spans="2:15">
      <c r="B49" s="16" t="str">
        <f t="shared" si="32"/>
        <v>Float32</v>
      </c>
      <c r="C49" s="16">
        <f t="shared" si="32"/>
        <v>64</v>
      </c>
      <c r="D49" s="21">
        <f t="shared" si="33"/>
        <v>787.40157480314963</v>
      </c>
      <c r="E49" s="21">
        <f t="shared" si="33"/>
        <v>2239.8924851607126</v>
      </c>
      <c r="F49" s="21">
        <f t="shared" si="33"/>
        <v>6500.2600104004159</v>
      </c>
      <c r="G49" s="21">
        <f t="shared" si="33"/>
        <v>6972.0421111343512</v>
      </c>
      <c r="H49" s="21">
        <f t="shared" si="33"/>
        <v>8007.0462006565776</v>
      </c>
      <c r="I49" s="21">
        <f t="shared" si="33"/>
        <v>172413.79310344829</v>
      </c>
      <c r="J49" s="21">
        <f t="shared" si="33"/>
        <v>757575.75757575757</v>
      </c>
      <c r="K49" s="21"/>
      <c r="L49" s="21">
        <f>1000000/L24</f>
        <v>200000</v>
      </c>
      <c r="M49" s="59"/>
      <c r="N49" s="44"/>
      <c r="O49" s="44"/>
    </row>
    <row r="50" spans="2:15">
      <c r="B50" s="16" t="str">
        <f t="shared" si="32"/>
        <v>Float32</v>
      </c>
      <c r="C50" s="16">
        <f t="shared" si="32"/>
        <v>128</v>
      </c>
      <c r="D50" s="21">
        <f t="shared" si="33"/>
        <v>396.51070578905632</v>
      </c>
      <c r="E50" s="21">
        <f t="shared" si="33"/>
        <v>1120.1469632815824</v>
      </c>
      <c r="F50" s="21">
        <f t="shared" si="33"/>
        <v>3265.7326671238693</v>
      </c>
      <c r="G50" s="21">
        <f t="shared" si="33"/>
        <v>3485.1705991008257</v>
      </c>
      <c r="H50" s="21">
        <f t="shared" si="33"/>
        <v>3990.9007462984396</v>
      </c>
      <c r="I50" s="21">
        <f t="shared" si="33"/>
        <v>87032.201914708436</v>
      </c>
      <c r="J50" s="21">
        <f t="shared" si="33"/>
        <v>395256.91699604748</v>
      </c>
      <c r="K50" s="21"/>
      <c r="L50" s="21">
        <f>1000000/L25</f>
        <v>100000</v>
      </c>
      <c r="M50" s="59"/>
      <c r="N50" s="44"/>
      <c r="O50" s="44"/>
    </row>
    <row r="51" spans="2:15">
      <c r="B51" s="16" t="str">
        <f t="shared" si="32"/>
        <v>Float32</v>
      </c>
      <c r="C51" s="16">
        <f t="shared" si="32"/>
        <v>256</v>
      </c>
      <c r="D51" s="21"/>
      <c r="E51" s="21">
        <f t="shared" ref="E51:J51" si="34">1000000/E26</f>
        <v>560.63867958378182</v>
      </c>
      <c r="F51" s="21">
        <f t="shared" si="34"/>
        <v>1637.0899089778011</v>
      </c>
      <c r="G51" s="21">
        <f t="shared" si="34"/>
        <v>1742.6764024188346</v>
      </c>
      <c r="H51" s="21">
        <f t="shared" si="34"/>
        <v>1992.6272790674504</v>
      </c>
      <c r="I51" s="21">
        <f t="shared" si="34"/>
        <v>43859.649122807015</v>
      </c>
      <c r="J51" s="21">
        <f t="shared" si="34"/>
        <v>201207.24346076458</v>
      </c>
      <c r="K51" s="21"/>
      <c r="L51" s="21">
        <f>1000000/L26</f>
        <v>50251.256281407041</v>
      </c>
      <c r="M51" s="59"/>
      <c r="N51" s="44"/>
      <c r="O51" s="44"/>
    </row>
    <row r="54" spans="2:15" ht="18.75">
      <c r="B54" s="69" t="str">
        <f>B2</f>
        <v>FIR Performance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52"/>
      <c r="N54" s="40"/>
      <c r="O54" s="40"/>
    </row>
    <row r="55" spans="2:15">
      <c r="B55" s="70" t="str">
        <f>B3</f>
        <v>Inputs</v>
      </c>
      <c r="C55" s="71"/>
      <c r="D55" s="70" t="s">
        <v>98</v>
      </c>
      <c r="E55" s="72"/>
      <c r="F55" s="72"/>
      <c r="G55" s="72"/>
      <c r="H55" s="72"/>
      <c r="I55" s="72"/>
      <c r="J55" s="72"/>
      <c r="K55" s="72"/>
      <c r="L55" s="71"/>
      <c r="M55" s="53"/>
      <c r="N55" s="40"/>
      <c r="O55" s="40"/>
    </row>
    <row r="56" spans="2:15">
      <c r="B56" s="28" t="s">
        <v>89</v>
      </c>
      <c r="C56" s="28" t="s">
        <v>97</v>
      </c>
      <c r="D56" s="35" t="str">
        <f t="shared" ref="D56:L56" si="35">D31</f>
        <v>Arduino Uno</v>
      </c>
      <c r="E56" s="35" t="str">
        <f t="shared" si="35"/>
        <v>Arduino M0</v>
      </c>
      <c r="F56" s="35" t="str">
        <f t="shared" si="35"/>
        <v>Maple</v>
      </c>
      <c r="G56" s="35" t="str">
        <f t="shared" si="35"/>
        <v>Arduino Due</v>
      </c>
      <c r="H56" s="35" t="str">
        <f t="shared" si="35"/>
        <v>Teensy 3.2</v>
      </c>
      <c r="I56" s="35" t="str">
        <f t="shared" ref="I56:K56" si="36">I31</f>
        <v>Teensy 3.6</v>
      </c>
      <c r="J56" s="35" t="str">
        <f t="shared" si="36"/>
        <v>Teensy 3.6</v>
      </c>
      <c r="K56" s="35" t="str">
        <f t="shared" si="36"/>
        <v>Teensy 3.6</v>
      </c>
      <c r="L56" s="35" t="str">
        <f t="shared" si="35"/>
        <v>FRDM-K66F</v>
      </c>
      <c r="M56" s="58"/>
      <c r="N56" s="43"/>
      <c r="O56" s="43"/>
    </row>
    <row r="57" spans="2:15">
      <c r="B57" s="29" t="str">
        <f>B36</f>
        <v>Int16</v>
      </c>
      <c r="C57" s="29">
        <v>250</v>
      </c>
      <c r="D57" s="21">
        <f>SQRT($C57/(D9*0.000001/$C9))</f>
        <v>10192.94382875251</v>
      </c>
      <c r="E57" s="21">
        <f t="shared" ref="E57:L57" si="37">SQRT($C57/(E9*0.000001/$C9))</f>
        <v>21765.18247163773</v>
      </c>
      <c r="F57" s="21">
        <f t="shared" si="37"/>
        <v>25678.511382808159</v>
      </c>
      <c r="G57" s="21">
        <f t="shared" si="37"/>
        <v>25500.477142297961</v>
      </c>
      <c r="H57" s="21">
        <f t="shared" si="37"/>
        <v>46420.708254852754</v>
      </c>
      <c r="I57" s="21">
        <f t="shared" ref="I57:K57" si="38">SQRT($C57/(I9*0.000001/$C9))</f>
        <v>58564.463250689587</v>
      </c>
      <c r="J57" s="21">
        <f t="shared" si="38"/>
        <v>74278.135270820756</v>
      </c>
      <c r="K57" s="21">
        <f t="shared" si="38"/>
        <v>163299.31618554521</v>
      </c>
      <c r="L57" s="21">
        <f t="shared" si="37"/>
        <v>54686.874161973057</v>
      </c>
      <c r="M57" s="59"/>
      <c r="N57" s="44"/>
      <c r="O57" s="44"/>
    </row>
    <row r="58" spans="2:15">
      <c r="B58" s="29" t="str">
        <f>B43</f>
        <v>Int32</v>
      </c>
      <c r="C58" s="29">
        <v>250</v>
      </c>
      <c r="D58" s="21">
        <f>SQRT($C58/(D17*0.000001/$C17))</f>
        <v>5656.8542494923804</v>
      </c>
      <c r="E58" s="21">
        <f t="shared" ref="E58:L58" si="39">SQRT($C58/(E17*0.000001/$C17))</f>
        <v>19887.211321452556</v>
      </c>
      <c r="F58" s="21">
        <f t="shared" si="39"/>
        <v>27805.280202714839</v>
      </c>
      <c r="G58" s="21">
        <f t="shared" si="39"/>
        <v>25500.477142297961</v>
      </c>
      <c r="H58" s="21">
        <f t="shared" si="39"/>
        <v>46420.708254852754</v>
      </c>
      <c r="I58" s="21">
        <f t="shared" ref="I58:K58" si="40">SQRT($C58/(I17*0.000001/$C17))</f>
        <v>60963.994247895011</v>
      </c>
      <c r="J58" s="21">
        <f t="shared" si="40"/>
        <v>103452.12002237434</v>
      </c>
      <c r="K58" s="21">
        <f t="shared" si="40"/>
        <v>62355.543873514936</v>
      </c>
      <c r="L58" s="21">
        <f t="shared" si="39"/>
        <v>58658.846008541317</v>
      </c>
      <c r="M58" s="59"/>
      <c r="N58" s="44"/>
      <c r="O58" s="44"/>
    </row>
    <row r="59" spans="2:15">
      <c r="B59" s="29" t="str">
        <f>B50</f>
        <v>Float32</v>
      </c>
      <c r="C59" s="29">
        <v>250</v>
      </c>
      <c r="D59" s="21">
        <f>SQRT($C59/(D25*0.000001/$C25))</f>
        <v>3562.0699860123191</v>
      </c>
      <c r="E59" s="21">
        <f t="shared" ref="E59:L59" si="41">SQRT($C59/(E25*0.000001/$C25))</f>
        <v>5987.0445818459248</v>
      </c>
      <c r="F59" s="21">
        <f t="shared" si="41"/>
        <v>10222.692666218809</v>
      </c>
      <c r="G59" s="21">
        <f t="shared" si="41"/>
        <v>10560.561498861054</v>
      </c>
      <c r="H59" s="21">
        <f t="shared" si="41"/>
        <v>11300.832884418302</v>
      </c>
      <c r="I59" s="21">
        <f t="shared" ref="I59:J59" si="42">SQRT($C59/(I25*0.000001/$C25))</f>
        <v>52773.387813088804</v>
      </c>
      <c r="J59" s="21">
        <f t="shared" si="42"/>
        <v>112464.31142310666</v>
      </c>
      <c r="K59" s="21"/>
      <c r="L59" s="21">
        <f t="shared" si="41"/>
        <v>56568.542494923808</v>
      </c>
      <c r="M59" s="59"/>
      <c r="N59" s="44"/>
      <c r="O59" s="44"/>
    </row>
    <row r="80" spans="2:5">
      <c r="B80" t="s">
        <v>139</v>
      </c>
      <c r="D80" s="15">
        <v>250</v>
      </c>
      <c r="E80" s="15" t="s">
        <v>4</v>
      </c>
    </row>
    <row r="81" spans="2:15">
      <c r="B81" t="s">
        <v>13</v>
      </c>
      <c r="D81" s="15">
        <v>44100</v>
      </c>
      <c r="E81" s="15" t="s">
        <v>4</v>
      </c>
    </row>
    <row r="82" spans="2:15">
      <c r="B82" t="s">
        <v>66</v>
      </c>
      <c r="D82" s="15">
        <f>ROUND(D81/D80,0)</f>
        <v>176</v>
      </c>
    </row>
    <row r="83" spans="2:15" ht="18.75">
      <c r="B83" s="69" t="str">
        <f>B2</f>
        <v>FIR Performance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52"/>
      <c r="N83" s="40"/>
      <c r="O83" s="40"/>
    </row>
    <row r="84" spans="2:15">
      <c r="B84" s="70" t="str">
        <f>B30</f>
        <v>Inputs</v>
      </c>
      <c r="C84" s="71"/>
      <c r="D84" s="70" t="s">
        <v>140</v>
      </c>
      <c r="E84" s="72"/>
      <c r="F84" s="72"/>
      <c r="G84" s="72"/>
      <c r="H84" s="72"/>
      <c r="I84" s="72"/>
      <c r="J84" s="72"/>
      <c r="K84" s="72"/>
      <c r="L84" s="71"/>
      <c r="M84" s="53"/>
      <c r="N84" s="40"/>
      <c r="O84" s="40"/>
    </row>
    <row r="85" spans="2:15">
      <c r="B85" s="28" t="str">
        <f>B31</f>
        <v>Type</v>
      </c>
      <c r="C85" s="28" t="str">
        <f t="shared" ref="C85:L85" si="43">C31</f>
        <v>N of FIR</v>
      </c>
      <c r="D85" s="28" t="str">
        <f t="shared" si="43"/>
        <v>Arduino Uno</v>
      </c>
      <c r="E85" s="28" t="str">
        <f t="shared" si="43"/>
        <v>Arduino M0</v>
      </c>
      <c r="F85" s="28" t="str">
        <f t="shared" si="43"/>
        <v>Maple</v>
      </c>
      <c r="G85" s="28" t="str">
        <f t="shared" si="43"/>
        <v>Arduino Due</v>
      </c>
      <c r="H85" s="28" t="str">
        <f t="shared" si="43"/>
        <v>Teensy 3.2</v>
      </c>
      <c r="I85" s="28" t="str">
        <f t="shared" ref="I85:K85" si="44">I31</f>
        <v>Teensy 3.6</v>
      </c>
      <c r="J85" s="28" t="str">
        <f t="shared" si="44"/>
        <v>Teensy 3.6</v>
      </c>
      <c r="K85" s="28" t="str">
        <f t="shared" si="44"/>
        <v>Teensy 3.6</v>
      </c>
      <c r="L85" s="28" t="str">
        <f t="shared" si="43"/>
        <v>FRDM-K66F</v>
      </c>
      <c r="M85" s="53"/>
      <c r="N85" s="40"/>
      <c r="O85" s="40"/>
    </row>
    <row r="86" spans="2:15">
      <c r="B86" s="28"/>
      <c r="C86" s="28"/>
      <c r="D86" s="28" t="str">
        <f>D5</f>
        <v>Naïve C</v>
      </c>
      <c r="E86" s="28" t="str">
        <f t="shared" ref="E86:L86" si="45">E5</f>
        <v>Naïve C</v>
      </c>
      <c r="F86" s="28" t="str">
        <f t="shared" si="45"/>
        <v>Naïve C</v>
      </c>
      <c r="G86" s="28" t="str">
        <f t="shared" si="45"/>
        <v>Naïve C</v>
      </c>
      <c r="H86" s="28" t="str">
        <f t="shared" si="45"/>
        <v>Naïve C</v>
      </c>
      <c r="I86" s="28" t="str">
        <f t="shared" si="45"/>
        <v>Naïve C</v>
      </c>
      <c r="J86" s="28" t="str">
        <f t="shared" si="45"/>
        <v>CMSIS FIR</v>
      </c>
      <c r="K86" s="28" t="str">
        <f t="shared" si="45"/>
        <v>CMSIS FIR Fast</v>
      </c>
      <c r="L86" s="28" t="str">
        <f t="shared" si="45"/>
        <v>Naïve C</v>
      </c>
      <c r="M86" s="53"/>
      <c r="N86" s="40"/>
      <c r="O86" s="40"/>
    </row>
    <row r="87" spans="2:15">
      <c r="B87" s="29" t="str">
        <f>B36</f>
        <v>Int16</v>
      </c>
      <c r="C87" s="29">
        <f>$D$82</f>
        <v>176</v>
      </c>
      <c r="D87" s="37">
        <f>D36*$C36/$C87</f>
        <v>2361.2750885478158</v>
      </c>
      <c r="E87" s="37">
        <f t="shared" ref="E87:L87" si="46">E36*$C36/$C87</f>
        <v>10766.435636901959</v>
      </c>
      <c r="F87" s="37">
        <f t="shared" si="46"/>
        <v>14986.044246295636</v>
      </c>
      <c r="G87" s="37">
        <f t="shared" si="46"/>
        <v>14778.962147383199</v>
      </c>
      <c r="H87" s="37">
        <f t="shared" si="46"/>
        <v>48974.594429139885</v>
      </c>
      <c r="I87" s="37">
        <f t="shared" ref="I87:K87" si="47">I36*$C36/$C87</f>
        <v>77949.917178213</v>
      </c>
      <c r="J87" s="37">
        <f t="shared" si="47"/>
        <v>125391.84952978058</v>
      </c>
      <c r="K87" s="37">
        <f t="shared" si="47"/>
        <v>606060.60606060608</v>
      </c>
      <c r="L87" s="37">
        <f t="shared" si="46"/>
        <v>67969.413763806282</v>
      </c>
      <c r="M87" s="61"/>
      <c r="N87" s="47"/>
      <c r="O87" s="47"/>
    </row>
    <row r="88" spans="2:15">
      <c r="B88" s="29" t="str">
        <f>B43</f>
        <v>Int32</v>
      </c>
      <c r="C88" s="29">
        <f t="shared" ref="C88:C89" si="48">$D$82</f>
        <v>176</v>
      </c>
      <c r="D88" s="37">
        <f>D43*$C43/$C88</f>
        <v>727.27272727272725</v>
      </c>
      <c r="E88" s="37">
        <f t="shared" ref="E88:L88" si="49">E43*$C43/$C88</f>
        <v>8988.6630487297898</v>
      </c>
      <c r="F88" s="37">
        <f t="shared" si="49"/>
        <v>17571.21834435195</v>
      </c>
      <c r="G88" s="37">
        <f t="shared" si="49"/>
        <v>14778.962147383199</v>
      </c>
      <c r="H88" s="37">
        <f t="shared" si="49"/>
        <v>48974.594429139885</v>
      </c>
      <c r="I88" s="37">
        <f t="shared" ref="I88:K88" si="50">I43*$C43/$C88</f>
        <v>84468.377151303983</v>
      </c>
      <c r="J88" s="37">
        <f t="shared" si="50"/>
        <v>243235.02584372147</v>
      </c>
      <c r="K88" s="37">
        <f t="shared" si="50"/>
        <v>88368.496630951064</v>
      </c>
      <c r="L88" s="37">
        <f t="shared" si="49"/>
        <v>78201.368523949161</v>
      </c>
      <c r="M88" s="61"/>
      <c r="N88" s="47"/>
      <c r="O88" s="47"/>
    </row>
    <row r="89" spans="2:15">
      <c r="B89" s="29" t="str">
        <f>B50</f>
        <v>Float32</v>
      </c>
      <c r="C89" s="29">
        <f t="shared" si="48"/>
        <v>176</v>
      </c>
      <c r="D89" s="37">
        <f>D50*$C50/$C89</f>
        <v>288.37142239204098</v>
      </c>
      <c r="E89" s="37">
        <f t="shared" ref="E89:L89" si="51">E50*$C50/$C89</f>
        <v>814.65233693205994</v>
      </c>
      <c r="F89" s="37">
        <f t="shared" si="51"/>
        <v>2375.078303362814</v>
      </c>
      <c r="G89" s="37">
        <f t="shared" si="51"/>
        <v>2534.6695266187821</v>
      </c>
      <c r="H89" s="37">
        <f t="shared" si="51"/>
        <v>2902.4732700352288</v>
      </c>
      <c r="I89" s="37">
        <f t="shared" ref="I89:J89" si="52">I50*$C50/$C89</f>
        <v>63296.146847060678</v>
      </c>
      <c r="J89" s="37">
        <f t="shared" si="52"/>
        <v>287459.57599712542</v>
      </c>
      <c r="K89" s="37"/>
      <c r="L89" s="37">
        <f t="shared" si="51"/>
        <v>72727.272727272721</v>
      </c>
      <c r="M89" s="61"/>
      <c r="N89" s="47"/>
      <c r="O89" s="47"/>
    </row>
    <row r="92" spans="2:15">
      <c r="B92" t="s">
        <v>13</v>
      </c>
      <c r="D92" s="15">
        <v>24000</v>
      </c>
      <c r="E92" s="15" t="s">
        <v>4</v>
      </c>
    </row>
    <row r="94" spans="2:15" ht="18.75">
      <c r="B94" s="69" t="str">
        <f>B83</f>
        <v>FIR Performance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52"/>
      <c r="N94" s="40"/>
      <c r="O94" s="40"/>
    </row>
    <row r="95" spans="2:15">
      <c r="B95" s="70" t="str">
        <f>B84</f>
        <v>Inputs</v>
      </c>
      <c r="C95" s="71"/>
      <c r="D95" s="70" t="s">
        <v>149</v>
      </c>
      <c r="E95" s="72"/>
      <c r="F95" s="72"/>
      <c r="G95" s="72"/>
      <c r="H95" s="72"/>
      <c r="I95" s="72"/>
      <c r="J95" s="72"/>
      <c r="K95" s="72"/>
      <c r="L95" s="71"/>
      <c r="M95" s="53"/>
      <c r="N95" s="40"/>
      <c r="O95" s="40"/>
    </row>
    <row r="96" spans="2:15">
      <c r="B96" s="28" t="str">
        <f>B85</f>
        <v>Type</v>
      </c>
      <c r="C96" s="28" t="str">
        <f>C85</f>
        <v>N of FIR</v>
      </c>
      <c r="D96" s="28" t="str">
        <f>D85</f>
        <v>Arduino Uno</v>
      </c>
      <c r="E96" s="28" t="str">
        <f t="shared" ref="E96:L96" si="53">E85</f>
        <v>Arduino M0</v>
      </c>
      <c r="F96" s="28" t="str">
        <f t="shared" si="53"/>
        <v>Maple</v>
      </c>
      <c r="G96" s="28" t="str">
        <f t="shared" si="53"/>
        <v>Arduino Due</v>
      </c>
      <c r="H96" s="28" t="str">
        <f t="shared" si="53"/>
        <v>Teensy 3.2</v>
      </c>
      <c r="I96" s="28" t="str">
        <f t="shared" si="53"/>
        <v>Teensy 3.6</v>
      </c>
      <c r="J96" s="28" t="str">
        <f t="shared" si="53"/>
        <v>Teensy 3.6</v>
      </c>
      <c r="K96" s="28" t="str">
        <f t="shared" si="53"/>
        <v>Teensy 3.6</v>
      </c>
      <c r="L96" s="28" t="str">
        <f t="shared" si="53"/>
        <v>FRDM-K66F</v>
      </c>
      <c r="M96" s="53"/>
      <c r="N96" s="40"/>
      <c r="O96" s="40"/>
    </row>
    <row r="97" spans="2:17">
      <c r="B97" s="28"/>
      <c r="C97" s="28"/>
      <c r="D97" s="28" t="str">
        <f>D86</f>
        <v>Naïve C</v>
      </c>
      <c r="E97" s="28" t="str">
        <f t="shared" ref="E97:L97" si="54">E86</f>
        <v>Naïve C</v>
      </c>
      <c r="F97" s="28" t="str">
        <f t="shared" si="54"/>
        <v>Naïve C</v>
      </c>
      <c r="G97" s="28" t="str">
        <f t="shared" si="54"/>
        <v>Naïve C</v>
      </c>
      <c r="H97" s="28" t="str">
        <f t="shared" si="54"/>
        <v>Naïve C</v>
      </c>
      <c r="I97" s="28" t="str">
        <f t="shared" si="54"/>
        <v>Naïve C</v>
      </c>
      <c r="J97" s="28" t="str">
        <f t="shared" si="54"/>
        <v>CMSIS FIR</v>
      </c>
      <c r="K97" s="28" t="str">
        <f t="shared" si="54"/>
        <v>CMSIS FIR Fast</v>
      </c>
      <c r="L97" s="28" t="str">
        <f t="shared" si="54"/>
        <v>Naïve C</v>
      </c>
      <c r="M97" s="53"/>
      <c r="N97" s="40"/>
      <c r="O97" s="40"/>
    </row>
    <row r="98" spans="2:17">
      <c r="B98" s="28" t="str">
        <f t="shared" ref="B98:B100" si="55">B87</f>
        <v>Int16</v>
      </c>
      <c r="C98" s="28">
        <v>128</v>
      </c>
      <c r="D98" s="38">
        <f>1/(D9*0.000001)/$D$92*$C98/$C9</f>
        <v>0.13528138528138528</v>
      </c>
      <c r="E98" s="38">
        <f t="shared" ref="E98:L98" si="56">1/(E9*0.000001)/$D$92*$C98/$C9</f>
        <v>0.61682704169750813</v>
      </c>
      <c r="F98" s="38">
        <f t="shared" si="56"/>
        <v>0.8585754516106876</v>
      </c>
      <c r="G98" s="38">
        <f t="shared" si="56"/>
        <v>0.84671137302716259</v>
      </c>
      <c r="H98" s="38">
        <f t="shared" si="56"/>
        <v>2.8058361391694726</v>
      </c>
      <c r="I98" s="38">
        <f t="shared" si="56"/>
        <v>4.4658806716684527</v>
      </c>
      <c r="J98" s="38">
        <f t="shared" si="56"/>
        <v>7.1839080459770122</v>
      </c>
      <c r="K98" s="38">
        <f t="shared" si="56"/>
        <v>34.722222222222221</v>
      </c>
      <c r="L98" s="38">
        <f t="shared" si="56"/>
        <v>3.8940809968847354</v>
      </c>
      <c r="M98" s="62"/>
      <c r="N98" s="48"/>
      <c r="O98" s="48"/>
      <c r="Q98" s="39">
        <f>1/(K98/8)</f>
        <v>0.23039999999999999</v>
      </c>
    </row>
    <row r="99" spans="2:17">
      <c r="B99" s="28" t="str">
        <f t="shared" si="55"/>
        <v>Int32</v>
      </c>
      <c r="C99" s="28">
        <v>128</v>
      </c>
      <c r="D99" s="38">
        <f>1/(D17*0.000001)/$D$92*$C99/$C17</f>
        <v>4.1666666666666664E-2</v>
      </c>
      <c r="E99" s="38">
        <f t="shared" ref="E99:L99" si="57">1/(E17*0.000001)/$D$92*$C99/$C17</f>
        <v>0.51497548716681085</v>
      </c>
      <c r="F99" s="38">
        <f t="shared" si="57"/>
        <v>1.0066843843118305</v>
      </c>
      <c r="G99" s="38">
        <f t="shared" si="57"/>
        <v>0.84671137302716259</v>
      </c>
      <c r="H99" s="38">
        <f t="shared" si="57"/>
        <v>2.8058361391694726</v>
      </c>
      <c r="I99" s="38">
        <f t="shared" si="57"/>
        <v>4.8393341076267911</v>
      </c>
      <c r="J99" s="38">
        <f t="shared" si="57"/>
        <v>13.935340022296543</v>
      </c>
      <c r="K99" s="38">
        <f t="shared" si="57"/>
        <v>5.0627784528149045</v>
      </c>
      <c r="L99" s="38">
        <f t="shared" si="57"/>
        <v>4.4802867383512543</v>
      </c>
      <c r="M99" s="62"/>
      <c r="N99" s="48"/>
      <c r="O99" s="48"/>
    </row>
    <row r="100" spans="2:17">
      <c r="B100" s="28" t="str">
        <f t="shared" si="55"/>
        <v>Float32</v>
      </c>
      <c r="C100" s="28">
        <v>128</v>
      </c>
      <c r="D100" s="38">
        <f>1/(D25*0.000001)/$D$92*$C100/$C25</f>
        <v>1.6521279407877346E-2</v>
      </c>
      <c r="E100" s="38">
        <f t="shared" ref="E100:L100" si="58">1/(E25*0.000001)/$D$92*$C100/$C25</f>
        <v>4.667279013673261E-2</v>
      </c>
      <c r="F100" s="38">
        <f t="shared" si="58"/>
        <v>0.13607219446349458</v>
      </c>
      <c r="G100" s="38">
        <f t="shared" si="58"/>
        <v>0.14521544162920108</v>
      </c>
      <c r="H100" s="38">
        <f t="shared" si="58"/>
        <v>0.16628753109576833</v>
      </c>
      <c r="I100" s="38">
        <f t="shared" si="58"/>
        <v>3.6263417464461849</v>
      </c>
      <c r="J100" s="38">
        <f t="shared" si="58"/>
        <v>16.469038208168644</v>
      </c>
      <c r="K100" s="38"/>
      <c r="L100" s="38">
        <f t="shared" si="58"/>
        <v>4.166666666666667</v>
      </c>
      <c r="M100" s="62"/>
      <c r="N100" s="48"/>
      <c r="O100" s="48"/>
    </row>
    <row r="102" spans="2:17">
      <c r="B102" t="s">
        <v>147</v>
      </c>
      <c r="D102" s="15">
        <v>2</v>
      </c>
      <c r="E102" s="15" t="s">
        <v>148</v>
      </c>
    </row>
    <row r="103" spans="2:17">
      <c r="B103" t="s">
        <v>146</v>
      </c>
    </row>
    <row r="105" spans="2:17">
      <c r="B105" t="str">
        <f>B3</f>
        <v>Inputs</v>
      </c>
      <c r="D105" t="s">
        <v>146</v>
      </c>
      <c r="E105"/>
      <c r="F105"/>
      <c r="G105"/>
      <c r="H105"/>
      <c r="I105"/>
      <c r="J105"/>
      <c r="K105"/>
      <c r="L105"/>
      <c r="N105" s="49"/>
      <c r="O105" s="49"/>
    </row>
    <row r="106" spans="2:17">
      <c r="B106" t="str">
        <f>B4</f>
        <v>Type</v>
      </c>
      <c r="C106" t="str">
        <f>C4</f>
        <v>N of FIR</v>
      </c>
      <c r="D106" t="str">
        <f>D4</f>
        <v>Arduino Uno</v>
      </c>
      <c r="E106" t="str">
        <f t="shared" ref="E106:L107" si="59">E4</f>
        <v>Arduino M0</v>
      </c>
      <c r="F106" t="str">
        <f t="shared" si="59"/>
        <v>Maple</v>
      </c>
      <c r="G106" t="str">
        <f t="shared" si="59"/>
        <v>Arduino Due</v>
      </c>
      <c r="H106" t="str">
        <f t="shared" si="59"/>
        <v>Teensy 3.2</v>
      </c>
      <c r="I106" t="str">
        <f t="shared" si="59"/>
        <v>Teensy 3.6</v>
      </c>
      <c r="J106" t="str">
        <f t="shared" si="59"/>
        <v>Teensy 3.6</v>
      </c>
      <c r="K106" t="str">
        <f t="shared" si="59"/>
        <v>Teensy 3.6</v>
      </c>
      <c r="L106" t="str">
        <f t="shared" si="59"/>
        <v>FRDM-K66F</v>
      </c>
      <c r="N106" s="49"/>
      <c r="O106" s="49"/>
    </row>
    <row r="107" spans="2:17">
      <c r="D107" t="str">
        <f>D5</f>
        <v>Naïve C</v>
      </c>
      <c r="E107" t="str">
        <f t="shared" si="59"/>
        <v>Naïve C</v>
      </c>
      <c r="F107" t="str">
        <f t="shared" si="59"/>
        <v>Naïve C</v>
      </c>
      <c r="G107" t="str">
        <f t="shared" si="59"/>
        <v>Naïve C</v>
      </c>
      <c r="H107" t="str">
        <f t="shared" si="59"/>
        <v>Naïve C</v>
      </c>
      <c r="I107" t="str">
        <f t="shared" si="59"/>
        <v>Naïve C</v>
      </c>
      <c r="J107" t="str">
        <f t="shared" si="59"/>
        <v>CMSIS FIR</v>
      </c>
      <c r="K107" t="str">
        <f t="shared" si="59"/>
        <v>CMSIS FIR Fast</v>
      </c>
      <c r="L107" t="str">
        <f t="shared" si="59"/>
        <v>Naïve C</v>
      </c>
      <c r="N107" s="49"/>
      <c r="O107" s="49"/>
    </row>
    <row r="108" spans="2:17">
      <c r="B108" t="str">
        <f t="shared" ref="B108:C112" si="60">B6</f>
        <v>Int16</v>
      </c>
      <c r="C108">
        <f t="shared" si="60"/>
        <v>16</v>
      </c>
      <c r="D108" s="10">
        <f t="shared" ref="D108:L108" si="61">$D$102*$C108/D6</f>
        <v>0.78048780487804881</v>
      </c>
      <c r="E108" s="10">
        <f t="shared" si="61"/>
        <v>3.5126234906695939</v>
      </c>
      <c r="F108" s="10">
        <f t="shared" si="61"/>
        <v>4.9612403100775193</v>
      </c>
      <c r="G108" s="10">
        <f t="shared" si="61"/>
        <v>4.9306625577812015</v>
      </c>
      <c r="H108" s="4">
        <f t="shared" si="61"/>
        <v>16.08040201005025</v>
      </c>
      <c r="I108" s="4">
        <f t="shared" si="61"/>
        <v>26.016260162601625</v>
      </c>
      <c r="J108" s="4">
        <f t="shared" si="61"/>
        <v>35.164835164835161</v>
      </c>
      <c r="K108" s="4">
        <f t="shared" si="61"/>
        <v>100</v>
      </c>
      <c r="L108" s="4">
        <f t="shared" si="61"/>
        <v>22.857142857142858</v>
      </c>
      <c r="M108" s="63"/>
      <c r="N108" s="50"/>
      <c r="O108" s="50"/>
    </row>
    <row r="109" spans="2:17">
      <c r="B109" t="str">
        <f t="shared" si="60"/>
        <v>Int16</v>
      </c>
      <c r="C109">
        <f t="shared" si="60"/>
        <v>32</v>
      </c>
      <c r="D109" s="10">
        <f t="shared" ref="D109:L109" si="62">$D$102*$C109/D7</f>
        <v>0.810126582278481</v>
      </c>
      <c r="E109" s="10">
        <f t="shared" si="62"/>
        <v>3.665521191294387</v>
      </c>
      <c r="F109" s="10">
        <f t="shared" si="62"/>
        <v>5.1323175621491579</v>
      </c>
      <c r="G109" s="10">
        <f t="shared" si="62"/>
        <v>5.0793650793650791</v>
      </c>
      <c r="H109" s="4">
        <f t="shared" si="62"/>
        <v>16.753926701570681</v>
      </c>
      <c r="I109" s="4">
        <f t="shared" si="62"/>
        <v>26.778242677824267</v>
      </c>
      <c r="J109" s="4">
        <f t="shared" si="62"/>
        <v>40.251572327044023</v>
      </c>
      <c r="K109" s="4">
        <f t="shared" si="62"/>
        <v>148.83720930232559</v>
      </c>
      <c r="L109" s="4">
        <f t="shared" si="62"/>
        <v>22.857142857142858</v>
      </c>
      <c r="M109" s="63"/>
      <c r="N109" s="50"/>
      <c r="O109" s="50"/>
    </row>
    <row r="110" spans="2:17">
      <c r="B110" t="str">
        <f t="shared" si="60"/>
        <v>Int16</v>
      </c>
      <c r="C110">
        <f t="shared" si="60"/>
        <v>64</v>
      </c>
      <c r="D110" s="10">
        <f t="shared" ref="D110:L110" si="63">$D$102*$C110/D8</f>
        <v>0.82580645161290323</v>
      </c>
      <c r="E110" s="10">
        <f t="shared" si="63"/>
        <v>3.7481698389458273</v>
      </c>
      <c r="F110" s="10">
        <f t="shared" si="63"/>
        <v>5.2287581699346406</v>
      </c>
      <c r="G110" s="10">
        <f t="shared" si="63"/>
        <v>5.161290322580645</v>
      </c>
      <c r="H110" s="4">
        <f t="shared" si="63"/>
        <v>17.066666666666666</v>
      </c>
      <c r="I110" s="4">
        <f t="shared" si="63"/>
        <v>27.23404255319149</v>
      </c>
      <c r="J110" s="4">
        <f t="shared" si="63"/>
        <v>42.95302013422819</v>
      </c>
      <c r="K110" s="4">
        <f t="shared" si="63"/>
        <v>188.23529411764704</v>
      </c>
      <c r="L110" s="4">
        <f t="shared" si="63"/>
        <v>23.703703703703702</v>
      </c>
      <c r="M110" s="63"/>
      <c r="N110" s="50"/>
      <c r="O110" s="50"/>
    </row>
    <row r="111" spans="2:17">
      <c r="B111" t="str">
        <f t="shared" si="60"/>
        <v>Int16</v>
      </c>
      <c r="C111">
        <f t="shared" si="60"/>
        <v>128</v>
      </c>
      <c r="D111" s="10">
        <f t="shared" ref="D111:L111" si="64">$D$102*$C111/D9</f>
        <v>0.83116883116883122</v>
      </c>
      <c r="E111" s="10">
        <f t="shared" si="64"/>
        <v>3.7897853441894895</v>
      </c>
      <c r="F111" s="10">
        <f t="shared" si="64"/>
        <v>5.2750875746960642</v>
      </c>
      <c r="G111" s="10">
        <f t="shared" si="64"/>
        <v>5.2021946758788866</v>
      </c>
      <c r="H111" s="4">
        <f t="shared" si="64"/>
        <v>17.239057239057239</v>
      </c>
      <c r="I111" s="4">
        <f t="shared" si="64"/>
        <v>27.438370846730976</v>
      </c>
      <c r="J111" s="4">
        <f t="shared" si="64"/>
        <v>44.137931034482762</v>
      </c>
      <c r="K111" s="4">
        <f t="shared" si="64"/>
        <v>213.33333333333334</v>
      </c>
      <c r="L111" s="4">
        <f t="shared" si="64"/>
        <v>23.925233644859816</v>
      </c>
      <c r="M111" s="63"/>
      <c r="N111" s="50"/>
      <c r="O111" s="50"/>
    </row>
    <row r="112" spans="2:17">
      <c r="B112" t="str">
        <f t="shared" si="60"/>
        <v>Int16</v>
      </c>
      <c r="C112">
        <f t="shared" si="60"/>
        <v>256</v>
      </c>
      <c r="D112" s="10">
        <f t="shared" ref="D112:L112" si="65">$D$102*$C112/D10</f>
        <v>0.83660130718954251</v>
      </c>
      <c r="E112" s="10">
        <f t="shared" si="65"/>
        <v>3.8109415705247489</v>
      </c>
      <c r="F112" s="10">
        <f t="shared" si="65"/>
        <v>5.298013245033113</v>
      </c>
      <c r="G112" s="10">
        <f t="shared" si="65"/>
        <v>5.2218255991840898</v>
      </c>
      <c r="H112" s="4">
        <f t="shared" si="65"/>
        <v>17.326565143824027</v>
      </c>
      <c r="I112" s="4">
        <f t="shared" si="65"/>
        <v>27.586206896551726</v>
      </c>
      <c r="J112" s="4">
        <f t="shared" si="65"/>
        <v>44.716157205240179</v>
      </c>
      <c r="K112" s="4">
        <f t="shared" si="65"/>
        <v>225.55066079295153</v>
      </c>
      <c r="L112" s="4">
        <f t="shared" si="65"/>
        <v>24.037558685446008</v>
      </c>
      <c r="M112" s="63"/>
      <c r="N112" s="50"/>
      <c r="O112" s="50"/>
      <c r="Q112" s="10">
        <f>K112/180</f>
        <v>1.2530592266275085</v>
      </c>
    </row>
    <row r="113" spans="2:17">
      <c r="D113"/>
      <c r="E113"/>
      <c r="F113"/>
      <c r="G113"/>
      <c r="H113"/>
      <c r="I113"/>
      <c r="J113"/>
      <c r="K113"/>
      <c r="L113"/>
      <c r="N113" s="49"/>
      <c r="O113" s="49"/>
    </row>
    <row r="114" spans="2:17">
      <c r="B114" t="str">
        <f t="shared" ref="B114:L114" si="66">B12</f>
        <v>Type</v>
      </c>
      <c r="C114" t="str">
        <f t="shared" si="66"/>
        <v>N of FIR</v>
      </c>
      <c r="D114" t="str">
        <f t="shared" si="66"/>
        <v>Arduino Uno</v>
      </c>
      <c r="E114" t="str">
        <f t="shared" si="66"/>
        <v>Arduino M0</v>
      </c>
      <c r="F114" t="str">
        <f t="shared" si="66"/>
        <v>Maple</v>
      </c>
      <c r="G114" t="str">
        <f t="shared" si="66"/>
        <v>Arduino Due</v>
      </c>
      <c r="H114" t="str">
        <f t="shared" si="66"/>
        <v>Teensy 3.2</v>
      </c>
      <c r="I114" t="str">
        <f t="shared" si="66"/>
        <v>Teensy 3.6</v>
      </c>
      <c r="J114" t="str">
        <f t="shared" si="66"/>
        <v>Teensy 3.6</v>
      </c>
      <c r="K114" t="str">
        <f t="shared" si="66"/>
        <v>Teensy 3.6</v>
      </c>
      <c r="L114" t="str">
        <f t="shared" si="66"/>
        <v>FRDM-K66F</v>
      </c>
      <c r="N114" s="49"/>
      <c r="O114" s="49"/>
    </row>
    <row r="115" spans="2:17">
      <c r="D115" t="str">
        <f t="shared" ref="D115:L115" si="67">D13</f>
        <v>Naïve C</v>
      </c>
      <c r="E115" t="str">
        <f t="shared" si="67"/>
        <v>Naïve C</v>
      </c>
      <c r="F115" t="str">
        <f t="shared" si="67"/>
        <v>Naïve C</v>
      </c>
      <c r="G115" t="str">
        <f t="shared" si="67"/>
        <v>Naïve C</v>
      </c>
      <c r="H115" t="str">
        <f t="shared" si="67"/>
        <v>Naïve C</v>
      </c>
      <c r="I115" t="str">
        <f t="shared" si="67"/>
        <v>Naïve C</v>
      </c>
      <c r="J115" t="str">
        <f t="shared" si="67"/>
        <v>CMSIS FIR</v>
      </c>
      <c r="K115" t="str">
        <f t="shared" si="67"/>
        <v>CMSIS FIR Fast</v>
      </c>
      <c r="L115" t="str">
        <f t="shared" si="67"/>
        <v>Naïve C</v>
      </c>
      <c r="N115" s="49"/>
      <c r="O115" s="49"/>
    </row>
    <row r="116" spans="2:17">
      <c r="B116" t="str">
        <f t="shared" ref="B116:C120" si="68">B14</f>
        <v>Int32</v>
      </c>
      <c r="C116">
        <f t="shared" si="68"/>
        <v>16</v>
      </c>
      <c r="D116" s="10">
        <f t="shared" ref="D116:L116" si="69">$D$102*$C116/D14</f>
        <v>0.24806201550387597</v>
      </c>
      <c r="E116" s="10">
        <f t="shared" si="69"/>
        <v>2.9712163416898796</v>
      </c>
      <c r="F116" s="10">
        <f t="shared" si="69"/>
        <v>5.7657657657657664</v>
      </c>
      <c r="G116" s="10">
        <f t="shared" si="69"/>
        <v>4.9306625577812015</v>
      </c>
      <c r="H116" s="10">
        <f t="shared" si="69"/>
        <v>16.08040201005025</v>
      </c>
      <c r="I116" s="10">
        <f t="shared" si="69"/>
        <v>28.318584070796462</v>
      </c>
      <c r="J116" s="10">
        <f t="shared" si="69"/>
        <v>50</v>
      </c>
      <c r="K116" s="10">
        <f t="shared" si="69"/>
        <v>26.890756302521009</v>
      </c>
      <c r="L116" s="10">
        <f t="shared" si="69"/>
        <v>26.666666666666668</v>
      </c>
      <c r="M116" s="64"/>
      <c r="N116" s="51"/>
      <c r="O116" s="51"/>
    </row>
    <row r="117" spans="2:17">
      <c r="B117" t="str">
        <f t="shared" si="68"/>
        <v>Int32</v>
      </c>
      <c r="C117">
        <f t="shared" si="68"/>
        <v>32</v>
      </c>
      <c r="D117" s="10">
        <f t="shared" ref="D117:L117" si="70">$D$102*$C117/D15</f>
        <v>0.25196850393700787</v>
      </c>
      <c r="E117" s="10">
        <f t="shared" si="70"/>
        <v>3.0784030784030785</v>
      </c>
      <c r="F117" s="10">
        <f t="shared" si="70"/>
        <v>6.0037523452157595</v>
      </c>
      <c r="G117" s="10">
        <f t="shared" si="70"/>
        <v>5.0793650793650791</v>
      </c>
      <c r="H117" s="10">
        <f t="shared" si="70"/>
        <v>16.753926701570681</v>
      </c>
      <c r="I117" s="10">
        <f t="shared" si="70"/>
        <v>29.09090909090909</v>
      </c>
      <c r="J117" s="10">
        <f t="shared" si="70"/>
        <v>66.666666666666671</v>
      </c>
      <c r="K117" s="10">
        <f t="shared" si="70"/>
        <v>29.357798165137613</v>
      </c>
      <c r="L117" s="10">
        <f t="shared" si="70"/>
        <v>26.666666666666668</v>
      </c>
      <c r="M117" s="64"/>
      <c r="N117" s="51"/>
      <c r="O117" s="51"/>
    </row>
    <row r="118" spans="2:17">
      <c r="B118" t="str">
        <f t="shared" si="68"/>
        <v>Int32</v>
      </c>
      <c r="C118">
        <f t="shared" si="68"/>
        <v>64</v>
      </c>
      <c r="D118" s="10">
        <f t="shared" ref="D118:L118" si="71">$D$102*$C118/D16</f>
        <v>0.25447316103379719</v>
      </c>
      <c r="E118" s="10">
        <f t="shared" si="71"/>
        <v>3.1349497918197406</v>
      </c>
      <c r="F118" s="10">
        <f t="shared" si="71"/>
        <v>6.1214729794356764</v>
      </c>
      <c r="G118" s="10">
        <f t="shared" si="71"/>
        <v>5.161290322580645</v>
      </c>
      <c r="H118" s="10">
        <f t="shared" si="71"/>
        <v>17.066666666666666</v>
      </c>
      <c r="I118" s="10">
        <f t="shared" si="71"/>
        <v>29.561200923787528</v>
      </c>
      <c r="J118" s="10">
        <f t="shared" si="71"/>
        <v>79.012345679012341</v>
      </c>
      <c r="K118" s="10">
        <f t="shared" si="71"/>
        <v>30.548926014319807</v>
      </c>
      <c r="L118" s="10">
        <f t="shared" si="71"/>
        <v>27.23404255319149</v>
      </c>
      <c r="M118" s="64"/>
      <c r="N118" s="51"/>
      <c r="O118" s="51"/>
    </row>
    <row r="119" spans="2:17">
      <c r="B119" t="str">
        <f t="shared" si="68"/>
        <v>Int32</v>
      </c>
      <c r="C119">
        <f t="shared" si="68"/>
        <v>128</v>
      </c>
      <c r="D119" s="10">
        <f t="shared" ref="D119:L119" si="72">$D$102*$C119/D17</f>
        <v>0.25600000000000001</v>
      </c>
      <c r="E119" s="10">
        <f t="shared" si="72"/>
        <v>3.1640093931528859</v>
      </c>
      <c r="F119" s="10">
        <f t="shared" si="72"/>
        <v>6.1850688572118866</v>
      </c>
      <c r="G119" s="10">
        <f t="shared" si="72"/>
        <v>5.2021946758788866</v>
      </c>
      <c r="H119" s="10">
        <f t="shared" si="72"/>
        <v>17.239057239057239</v>
      </c>
      <c r="I119" s="10">
        <f t="shared" si="72"/>
        <v>29.732868757259002</v>
      </c>
      <c r="J119" s="10">
        <f t="shared" si="72"/>
        <v>85.618729096989966</v>
      </c>
      <c r="K119" s="10">
        <f t="shared" si="72"/>
        <v>31.105710814094774</v>
      </c>
      <c r="L119" s="10">
        <f t="shared" si="72"/>
        <v>27.526881720430104</v>
      </c>
      <c r="M119" s="64"/>
      <c r="N119" s="51"/>
      <c r="O119" s="51"/>
    </row>
    <row r="120" spans="2:17">
      <c r="B120" t="str">
        <f t="shared" si="68"/>
        <v>Int32</v>
      </c>
      <c r="C120">
        <f t="shared" si="68"/>
        <v>256</v>
      </c>
      <c r="D120" s="10"/>
      <c r="E120" s="10">
        <f t="shared" ref="E120:L120" si="73">$D$102*$C120/E18</f>
        <v>3.1789395256426176</v>
      </c>
      <c r="F120" s="10">
        <f t="shared" si="73"/>
        <v>6.2166100048567268</v>
      </c>
      <c r="G120" s="10">
        <f t="shared" si="73"/>
        <v>5.2218255991840898</v>
      </c>
      <c r="H120" s="10">
        <f t="shared" si="73"/>
        <v>17.326565143824027</v>
      </c>
      <c r="I120" s="10">
        <f t="shared" si="73"/>
        <v>29.941520467836256</v>
      </c>
      <c r="J120" s="10">
        <f t="shared" si="73"/>
        <v>89.824561403508767</v>
      </c>
      <c r="K120" s="10">
        <f t="shared" si="73"/>
        <v>31.372549019607842</v>
      </c>
      <c r="L120" s="10">
        <f t="shared" si="73"/>
        <v>27.675675675675677</v>
      </c>
      <c r="M120" s="64"/>
      <c r="N120" s="51"/>
      <c r="O120" s="51"/>
      <c r="Q120" s="10">
        <f>J120/180</f>
        <v>0.49902534113060426</v>
      </c>
    </row>
    <row r="121" spans="2:17">
      <c r="D121"/>
      <c r="E121"/>
      <c r="F121"/>
      <c r="G121"/>
      <c r="H121"/>
      <c r="I121"/>
      <c r="J121"/>
      <c r="K121"/>
      <c r="L121"/>
      <c r="N121" s="49"/>
      <c r="O121" s="49"/>
    </row>
    <row r="122" spans="2:17">
      <c r="B122" t="str">
        <f t="shared" ref="B122:J122" si="74">B20</f>
        <v>Type</v>
      </c>
      <c r="C122" t="str">
        <f t="shared" si="74"/>
        <v>N of FIR</v>
      </c>
      <c r="D122" t="str">
        <f t="shared" si="74"/>
        <v>Arduino Uno</v>
      </c>
      <c r="E122" t="str">
        <f t="shared" si="74"/>
        <v>Arduino M0</v>
      </c>
      <c r="F122" t="str">
        <f t="shared" si="74"/>
        <v>Maple</v>
      </c>
      <c r="G122" t="str">
        <f t="shared" si="74"/>
        <v>Arduino Due</v>
      </c>
      <c r="H122" t="str">
        <f t="shared" si="74"/>
        <v>Teensy 3.2</v>
      </c>
      <c r="I122" t="str">
        <f t="shared" si="74"/>
        <v>Teensy 3.6</v>
      </c>
      <c r="J122" t="str">
        <f t="shared" si="74"/>
        <v>Teensy 3.6</v>
      </c>
      <c r="K122"/>
      <c r="L122" t="str">
        <f>L20</f>
        <v>FRDM-K66F</v>
      </c>
      <c r="N122" s="49"/>
      <c r="O122" s="49"/>
    </row>
    <row r="123" spans="2:17">
      <c r="D123" t="str">
        <f t="shared" ref="D123:J123" si="75">D21</f>
        <v>Naïve C</v>
      </c>
      <c r="E123" t="str">
        <f t="shared" si="75"/>
        <v>Naïve C</v>
      </c>
      <c r="F123" t="str">
        <f t="shared" si="75"/>
        <v>Naïve C</v>
      </c>
      <c r="G123" t="str">
        <f t="shared" si="75"/>
        <v>Naïve C</v>
      </c>
      <c r="H123" t="str">
        <f t="shared" si="75"/>
        <v>Naïve C</v>
      </c>
      <c r="I123" t="str">
        <f t="shared" si="75"/>
        <v>Naïve C</v>
      </c>
      <c r="J123" t="str">
        <f t="shared" si="75"/>
        <v>CMSIS FIR</v>
      </c>
      <c r="K123"/>
      <c r="L123" t="str">
        <f>L21</f>
        <v>Naïve C</v>
      </c>
      <c r="N123" s="49"/>
      <c r="O123" s="49"/>
    </row>
    <row r="124" spans="2:17">
      <c r="B124" t="str">
        <f t="shared" ref="B124:C128" si="76">B22</f>
        <v>Float32</v>
      </c>
      <c r="C124">
        <f t="shared" si="76"/>
        <v>16</v>
      </c>
      <c r="D124" s="10">
        <f t="shared" ref="D124:J127" si="77">$D$102*$C124/D22</f>
        <v>0.10289389067524116</v>
      </c>
      <c r="E124" s="10">
        <f t="shared" si="77"/>
        <v>0.27867282069145694</v>
      </c>
      <c r="F124" s="10">
        <f t="shared" si="77"/>
        <v>0.81238893120081235</v>
      </c>
      <c r="G124" s="10">
        <f t="shared" si="77"/>
        <v>0.89660969459232287</v>
      </c>
      <c r="H124" s="10">
        <f t="shared" si="77"/>
        <v>1.0481493612839829</v>
      </c>
      <c r="I124" s="10">
        <f t="shared" si="77"/>
        <v>20.915032679738562</v>
      </c>
      <c r="J124" s="10">
        <f t="shared" si="77"/>
        <v>72.727272727272734</v>
      </c>
      <c r="K124" s="10"/>
      <c r="L124" s="10">
        <f>$D$102*$C124/L22</f>
        <v>24.615384615384613</v>
      </c>
      <c r="M124" s="64"/>
      <c r="N124" s="51"/>
      <c r="O124" s="51"/>
    </row>
    <row r="125" spans="2:17">
      <c r="B125" t="str">
        <f t="shared" si="76"/>
        <v>Float32</v>
      </c>
      <c r="C125">
        <f t="shared" si="76"/>
        <v>32</v>
      </c>
      <c r="D125" s="10">
        <f t="shared" si="77"/>
        <v>0.10289389067524116</v>
      </c>
      <c r="E125" s="10">
        <f t="shared" si="77"/>
        <v>0.28259813661853667</v>
      </c>
      <c r="F125" s="10">
        <f t="shared" si="77"/>
        <v>0.82484856295914422</v>
      </c>
      <c r="G125" s="10">
        <f t="shared" si="77"/>
        <v>0.89335566722501392</v>
      </c>
      <c r="H125" s="10">
        <f t="shared" si="77"/>
        <v>1.0320915981293339</v>
      </c>
      <c r="I125" s="10">
        <f t="shared" si="77"/>
        <v>21.694915254237287</v>
      </c>
      <c r="J125" s="10">
        <f t="shared" si="77"/>
        <v>88.888888888888886</v>
      </c>
      <c r="K125" s="10"/>
      <c r="L125" s="10">
        <f>$D$102*$C125/L23</f>
        <v>23.703703703703702</v>
      </c>
      <c r="M125" s="64"/>
      <c r="N125" s="51"/>
      <c r="O125" s="51"/>
    </row>
    <row r="126" spans="2:17">
      <c r="B126" t="str">
        <f t="shared" si="76"/>
        <v>Float32</v>
      </c>
      <c r="C126">
        <f t="shared" si="76"/>
        <v>64</v>
      </c>
      <c r="D126" s="10">
        <f t="shared" si="77"/>
        <v>0.10078740157480315</v>
      </c>
      <c r="E126" s="10">
        <f t="shared" si="77"/>
        <v>0.28670623810057116</v>
      </c>
      <c r="F126" s="10">
        <f t="shared" si="77"/>
        <v>0.8320332813312532</v>
      </c>
      <c r="G126" s="10">
        <f t="shared" si="77"/>
        <v>0.89242139022519695</v>
      </c>
      <c r="H126" s="10">
        <f t="shared" si="77"/>
        <v>1.024901913684042</v>
      </c>
      <c r="I126" s="10">
        <f t="shared" si="77"/>
        <v>22.068965517241381</v>
      </c>
      <c r="J126" s="10">
        <f t="shared" si="77"/>
        <v>96.969696969696969</v>
      </c>
      <c r="K126" s="10"/>
      <c r="L126" s="10">
        <f>$D$102*$C126/L24</f>
        <v>25.6</v>
      </c>
      <c r="M126" s="64"/>
      <c r="N126" s="51"/>
      <c r="O126" s="51"/>
    </row>
    <row r="127" spans="2:17">
      <c r="B127" t="str">
        <f t="shared" si="76"/>
        <v>Float32</v>
      </c>
      <c r="C127">
        <f t="shared" si="76"/>
        <v>128</v>
      </c>
      <c r="D127" s="10">
        <f t="shared" si="77"/>
        <v>0.10150674068199841</v>
      </c>
      <c r="E127" s="10">
        <f t="shared" si="77"/>
        <v>0.28675762260008514</v>
      </c>
      <c r="F127" s="10">
        <f t="shared" si="77"/>
        <v>0.8360275627837106</v>
      </c>
      <c r="G127" s="10">
        <f t="shared" si="77"/>
        <v>0.89220367336981143</v>
      </c>
      <c r="H127" s="10">
        <f t="shared" si="77"/>
        <v>1.0216705910524007</v>
      </c>
      <c r="I127" s="10">
        <f t="shared" si="77"/>
        <v>22.28024369016536</v>
      </c>
      <c r="J127" s="10">
        <f t="shared" si="77"/>
        <v>101.18577075098815</v>
      </c>
      <c r="K127" s="10"/>
      <c r="L127" s="10">
        <f>$D$102*$C127/L25</f>
        <v>25.6</v>
      </c>
      <c r="M127" s="64"/>
      <c r="N127" s="51"/>
      <c r="O127" s="51"/>
    </row>
    <row r="128" spans="2:17">
      <c r="B128" t="str">
        <f t="shared" si="76"/>
        <v>Float32</v>
      </c>
      <c r="C128">
        <f t="shared" si="76"/>
        <v>256</v>
      </c>
      <c r="D128" s="10"/>
      <c r="E128" s="10">
        <f t="shared" ref="E128:J128" si="78">$D$102*$C128/E26</f>
        <v>0.28704700394689631</v>
      </c>
      <c r="F128" s="10">
        <f t="shared" si="78"/>
        <v>0.83819003339663412</v>
      </c>
      <c r="G128" s="10">
        <f t="shared" si="78"/>
        <v>0.89225031803844335</v>
      </c>
      <c r="H128" s="10">
        <f t="shared" si="78"/>
        <v>1.0202251668825346</v>
      </c>
      <c r="I128" s="10">
        <f t="shared" si="78"/>
        <v>22.456140350877192</v>
      </c>
      <c r="J128" s="10">
        <f t="shared" si="78"/>
        <v>103.01810865191148</v>
      </c>
      <c r="K128" s="10"/>
      <c r="L128" s="10">
        <f>$D$102*$C128/L26</f>
        <v>25.728643216080403</v>
      </c>
      <c r="M128" s="64"/>
      <c r="N128" s="51"/>
      <c r="O128" s="51"/>
      <c r="Q128" s="10">
        <f>J128/180</f>
        <v>0.57232282584395267</v>
      </c>
    </row>
  </sheetData>
  <mergeCells count="16">
    <mergeCell ref="B30:C30"/>
    <mergeCell ref="D30:L30"/>
    <mergeCell ref="B2:L2"/>
    <mergeCell ref="B3:C3"/>
    <mergeCell ref="D3:L3"/>
    <mergeCell ref="B19:L19"/>
    <mergeCell ref="B29:L29"/>
    <mergeCell ref="B94:L94"/>
    <mergeCell ref="B95:C95"/>
    <mergeCell ref="D95:L95"/>
    <mergeCell ref="B54:L54"/>
    <mergeCell ref="B55:C55"/>
    <mergeCell ref="D55:L55"/>
    <mergeCell ref="B83:L83"/>
    <mergeCell ref="B84:C84"/>
    <mergeCell ref="D84:L84"/>
  </mergeCells>
  <conditionalFormatting sqref="D57:O59">
    <cfRule type="cellIs" dxfId="21" priority="5" operator="greaterThanOrEqual">
      <formula>44100</formula>
    </cfRule>
    <cfRule type="cellIs" dxfId="20" priority="6" operator="between">
      <formula>32000</formula>
      <formula>44100</formula>
    </cfRule>
    <cfRule type="cellIs" dxfId="19" priority="7" operator="lessThan">
      <formula>32000</formula>
    </cfRule>
  </conditionalFormatting>
  <conditionalFormatting sqref="D87:O89">
    <cfRule type="cellIs" dxfId="18" priority="3" operator="lessThan">
      <formula>$D$81</formula>
    </cfRule>
    <cfRule type="cellIs" dxfId="17" priority="4" operator="greaterThanOrEqual">
      <formula>$D$81</formula>
    </cfRule>
  </conditionalFormatting>
  <conditionalFormatting sqref="D98:O100 Q98">
    <cfRule type="cellIs" dxfId="16" priority="1" operator="lessThan">
      <formula>$D$81</formula>
    </cfRule>
    <cfRule type="cellIs" dxfId="15" priority="2" operator="greaterThanOrEqual">
      <formula>$D$81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4"/>
  <sheetViews>
    <sheetView topLeftCell="A55" workbookViewId="0">
      <selection activeCell="L84" sqref="L84"/>
    </sheetView>
  </sheetViews>
  <sheetFormatPr defaultRowHeight="15"/>
  <cols>
    <col min="3" max="3" width="9.875" customWidth="1"/>
    <col min="4" max="9" width="12.625" style="15" customWidth="1"/>
  </cols>
  <sheetData>
    <row r="2" spans="2:9" ht="18.75">
      <c r="B2" s="69" t="s">
        <v>135</v>
      </c>
      <c r="C2" s="69"/>
      <c r="D2" s="69"/>
      <c r="E2" s="69"/>
      <c r="F2" s="69"/>
      <c r="G2" s="69"/>
      <c r="H2" s="69"/>
      <c r="I2" s="69"/>
    </row>
    <row r="3" spans="2:9">
      <c r="B3" s="70" t="s">
        <v>93</v>
      </c>
      <c r="C3" s="71"/>
      <c r="D3" s="70" t="s">
        <v>96</v>
      </c>
      <c r="E3" s="72"/>
      <c r="F3" s="72"/>
      <c r="G3" s="72"/>
      <c r="H3" s="72"/>
      <c r="I3" s="71"/>
    </row>
    <row r="4" spans="2:9">
      <c r="B4" s="28" t="s">
        <v>89</v>
      </c>
      <c r="C4" s="28" t="s">
        <v>94</v>
      </c>
      <c r="D4" s="28" t="str">
        <f>'Arduino Uno'!$B$2</f>
        <v>Arduino Uno</v>
      </c>
      <c r="E4" s="28" t="str">
        <f>'Arduino M0 Pro'!$C$6</f>
        <v>Arduino M0</v>
      </c>
      <c r="F4" s="28" t="str">
        <f>Maple!$B$1</f>
        <v>Maple</v>
      </c>
      <c r="G4" s="28" t="str">
        <f>'Arduino Due'!$C$6</f>
        <v>Arduino Due</v>
      </c>
      <c r="H4" s="28" t="str">
        <f>'Teensy 3.2'!$C$18</f>
        <v>Teensy 3.2</v>
      </c>
      <c r="I4" s="28" t="str">
        <f>'NXP K66'!$C$6</f>
        <v>FRDM-K66F</v>
      </c>
    </row>
    <row r="5" spans="2:9">
      <c r="B5" s="29" t="s">
        <v>90</v>
      </c>
      <c r="C5" s="29">
        <f>'Arduino Uno'!$B13</f>
        <v>16</v>
      </c>
      <c r="D5" s="30">
        <f>'Arduino Uno'!D13</f>
        <v>41</v>
      </c>
      <c r="E5" s="30">
        <f>'Arduino M0 Pro'!L12</f>
        <v>9.11</v>
      </c>
      <c r="F5" s="30">
        <f>Maple!F11</f>
        <v>6.45</v>
      </c>
      <c r="G5" s="30">
        <f>'Arduino Due'!F11</f>
        <v>6.49</v>
      </c>
      <c r="H5" s="30">
        <f>'Teensy 3.2'!E23</f>
        <v>1.99</v>
      </c>
      <c r="I5" s="30">
        <f>'NXP K66'!E11</f>
        <v>1.4</v>
      </c>
    </row>
    <row r="6" spans="2:9">
      <c r="B6" s="29" t="s">
        <v>90</v>
      </c>
      <c r="C6" s="29">
        <f>'Arduino Uno'!$B14</f>
        <v>32</v>
      </c>
      <c r="D6" s="30">
        <f>'Arduino Uno'!D14</f>
        <v>79</v>
      </c>
      <c r="E6" s="30">
        <f>'Arduino M0 Pro'!L13</f>
        <v>17.46</v>
      </c>
      <c r="F6" s="30">
        <f>Maple!F12</f>
        <v>12.47</v>
      </c>
      <c r="G6" s="30">
        <f>'Arduino Due'!F12</f>
        <v>12.6</v>
      </c>
      <c r="H6" s="30">
        <f>'Teensy 3.2'!E24</f>
        <v>3.82</v>
      </c>
      <c r="I6" s="30">
        <f>'NXP K66'!E12</f>
        <v>2.8</v>
      </c>
    </row>
    <row r="7" spans="2:9">
      <c r="B7" s="29" t="s">
        <v>90</v>
      </c>
      <c r="C7" s="29">
        <f>'Arduino Uno'!$B15</f>
        <v>64</v>
      </c>
      <c r="D7" s="30">
        <f>'Arduino Uno'!D15</f>
        <v>155</v>
      </c>
      <c r="E7" s="30">
        <f>'Arduino M0 Pro'!L14</f>
        <v>34.15</v>
      </c>
      <c r="F7" s="30">
        <f>Maple!F13</f>
        <v>24.48</v>
      </c>
      <c r="G7" s="30">
        <f>'Arduino Due'!F13</f>
        <v>24.8</v>
      </c>
      <c r="H7" s="30">
        <f>'Teensy 3.2'!E25</f>
        <v>7.5</v>
      </c>
      <c r="I7" s="30">
        <f>'NXP K66'!E13</f>
        <v>5.4</v>
      </c>
    </row>
    <row r="8" spans="2:9">
      <c r="B8" s="29" t="s">
        <v>90</v>
      </c>
      <c r="C8" s="29">
        <f>'Arduino Uno'!$B16</f>
        <v>128</v>
      </c>
      <c r="D8" s="30">
        <f>'Arduino Uno'!D16</f>
        <v>308</v>
      </c>
      <c r="E8" s="30">
        <f>'Arduino M0 Pro'!L15</f>
        <v>67.55</v>
      </c>
      <c r="F8" s="30">
        <f>Maple!F14</f>
        <v>48.53</v>
      </c>
      <c r="G8" s="30">
        <f>'Arduino Due'!F14</f>
        <v>49.21</v>
      </c>
      <c r="H8" s="30">
        <f>'Teensy 3.2'!E26</f>
        <v>14.85</v>
      </c>
      <c r="I8" s="30">
        <f>'NXP K66'!E14</f>
        <v>10.7</v>
      </c>
    </row>
    <row r="9" spans="2:9">
      <c r="B9" s="29" t="s">
        <v>90</v>
      </c>
      <c r="C9" s="29">
        <f>'Arduino Uno'!$B17</f>
        <v>256</v>
      </c>
      <c r="D9" s="30">
        <f>'Arduino Uno'!D17</f>
        <v>612</v>
      </c>
      <c r="E9" s="30">
        <f>'Arduino M0 Pro'!L16</f>
        <v>134.35</v>
      </c>
      <c r="F9" s="30">
        <f>Maple!F15</f>
        <v>96.64</v>
      </c>
      <c r="G9" s="30">
        <f>'Arduino Due'!F15</f>
        <v>98.05</v>
      </c>
      <c r="H9" s="30">
        <f>'Teensy 3.2'!E27</f>
        <v>29.55</v>
      </c>
      <c r="I9" s="30">
        <f>'NXP K66'!E15</f>
        <v>21.3</v>
      </c>
    </row>
    <row r="10" spans="2:9">
      <c r="B10" s="31"/>
      <c r="C10" s="32"/>
      <c r="D10" s="32"/>
      <c r="E10" s="32"/>
      <c r="F10" s="32"/>
      <c r="G10" s="32"/>
      <c r="H10" s="32"/>
      <c r="I10" s="33"/>
    </row>
    <row r="11" spans="2:9">
      <c r="B11" s="28" t="str">
        <f>B4</f>
        <v>Type</v>
      </c>
      <c r="C11" s="28" t="str">
        <f>C4</f>
        <v>N of FIR</v>
      </c>
      <c r="D11" s="28" t="str">
        <f>'Arduino Uno'!$B$2</f>
        <v>Arduino Uno</v>
      </c>
      <c r="E11" s="28" t="str">
        <f>'Arduino M0 Pro'!$C$6</f>
        <v>Arduino M0</v>
      </c>
      <c r="F11" s="28" t="str">
        <f>Maple!$B$1</f>
        <v>Maple</v>
      </c>
      <c r="G11" s="28" t="str">
        <f>'Arduino Due'!$C$6</f>
        <v>Arduino Due</v>
      </c>
      <c r="H11" s="28" t="str">
        <f>'Teensy 3.2'!$C$18</f>
        <v>Teensy 3.2</v>
      </c>
      <c r="I11" s="34" t="str">
        <f>'NXP K66'!$C$6</f>
        <v>FRDM-K66F</v>
      </c>
    </row>
    <row r="12" spans="2:9">
      <c r="B12" s="29" t="s">
        <v>91</v>
      </c>
      <c r="C12" s="29">
        <f>'Arduino Uno'!B13</f>
        <v>16</v>
      </c>
      <c r="D12" s="30">
        <f>'Arduino Uno'!E13</f>
        <v>129</v>
      </c>
      <c r="E12" s="30">
        <f>'Arduino M0 Pro'!M12</f>
        <v>10.77</v>
      </c>
      <c r="F12" s="30">
        <f>Maple!E11</f>
        <v>5.55</v>
      </c>
      <c r="G12" s="30">
        <f>'Arduino Due'!E11</f>
        <v>6.49</v>
      </c>
      <c r="H12" s="30">
        <f>'Teensy 3.2'!E23</f>
        <v>1.99</v>
      </c>
      <c r="I12" s="30">
        <f>'NXP K66'!D11</f>
        <v>1.2</v>
      </c>
    </row>
    <row r="13" spans="2:9">
      <c r="B13" s="29" t="s">
        <v>91</v>
      </c>
      <c r="C13" s="29">
        <f>'Arduino Uno'!B14</f>
        <v>32</v>
      </c>
      <c r="D13" s="30">
        <f>'Arduino Uno'!E14</f>
        <v>254</v>
      </c>
      <c r="E13" s="30">
        <f>'Arduino M0 Pro'!M13</f>
        <v>20.79</v>
      </c>
      <c r="F13" s="30">
        <f>Maple!E12</f>
        <v>10.66</v>
      </c>
      <c r="G13" s="30">
        <f>'Arduino Due'!E12</f>
        <v>12.6</v>
      </c>
      <c r="H13" s="30">
        <f>'Teensy 3.2'!E24</f>
        <v>3.82</v>
      </c>
      <c r="I13" s="30">
        <f>'NXP K66'!D12</f>
        <v>2.4</v>
      </c>
    </row>
    <row r="14" spans="2:9">
      <c r="B14" s="29" t="s">
        <v>91</v>
      </c>
      <c r="C14" s="29">
        <f>'Arduino Uno'!B15</f>
        <v>64</v>
      </c>
      <c r="D14" s="30">
        <f>'Arduino Uno'!E15</f>
        <v>503</v>
      </c>
      <c r="E14" s="30">
        <f>'Arduino M0 Pro'!M14</f>
        <v>40.83</v>
      </c>
      <c r="F14" s="30">
        <f>Maple!E13</f>
        <v>20.91</v>
      </c>
      <c r="G14" s="30">
        <f>'Arduino Due'!E13</f>
        <v>24.8</v>
      </c>
      <c r="H14" s="30">
        <f>'Teensy 3.2'!E25</f>
        <v>7.5</v>
      </c>
      <c r="I14" s="30">
        <f>'NXP K66'!D13</f>
        <v>4.7</v>
      </c>
    </row>
    <row r="15" spans="2:9">
      <c r="B15" s="29" t="s">
        <v>91</v>
      </c>
      <c r="C15" s="29">
        <f>'Arduino Uno'!B16</f>
        <v>128</v>
      </c>
      <c r="D15" s="30">
        <f>'Arduino Uno'!E16</f>
        <v>1000</v>
      </c>
      <c r="E15" s="30">
        <f>'Arduino M0 Pro'!M15</f>
        <v>80.91</v>
      </c>
      <c r="F15" s="30">
        <f>Maple!E14</f>
        <v>41.39</v>
      </c>
      <c r="G15" s="30">
        <f>'Arduino Due'!E14</f>
        <v>49.21</v>
      </c>
      <c r="H15" s="30">
        <f>'Teensy 3.2'!E26</f>
        <v>14.85</v>
      </c>
      <c r="I15" s="30">
        <f>'NXP K66'!D14</f>
        <v>9.3000000000000007</v>
      </c>
    </row>
    <row r="16" spans="2:9">
      <c r="B16" s="29" t="s">
        <v>91</v>
      </c>
      <c r="C16" s="29">
        <f>'Arduino Uno'!B17</f>
        <v>256</v>
      </c>
      <c r="D16" s="30"/>
      <c r="E16" s="30">
        <f>'Arduino M0 Pro'!M16</f>
        <v>161.06</v>
      </c>
      <c r="F16" s="30">
        <f>Maple!E15</f>
        <v>82.36</v>
      </c>
      <c r="G16" s="30">
        <f>'Arduino Due'!E15</f>
        <v>98.05</v>
      </c>
      <c r="H16" s="30">
        <f>'Teensy 3.2'!E27</f>
        <v>29.55</v>
      </c>
      <c r="I16" s="30">
        <f>'NXP K66'!D15</f>
        <v>18.5</v>
      </c>
    </row>
    <row r="17" spans="2:9">
      <c r="B17" s="73"/>
      <c r="C17" s="74"/>
      <c r="D17" s="74"/>
      <c r="E17" s="74"/>
      <c r="F17" s="74"/>
      <c r="G17" s="74"/>
      <c r="H17" s="74"/>
      <c r="I17" s="75"/>
    </row>
    <row r="18" spans="2:9">
      <c r="B18" s="28" t="str">
        <f>B4</f>
        <v>Type</v>
      </c>
      <c r="C18" s="28" t="str">
        <f>C4</f>
        <v>N of FIR</v>
      </c>
      <c r="D18" s="28" t="str">
        <f>'Arduino Uno'!$B$2</f>
        <v>Arduino Uno</v>
      </c>
      <c r="E18" s="28" t="str">
        <f>'Arduino M0 Pro'!$C$6</f>
        <v>Arduino M0</v>
      </c>
      <c r="F18" s="28" t="str">
        <f>Maple!$B$1</f>
        <v>Maple</v>
      </c>
      <c r="G18" s="28" t="str">
        <f>'Arduino Due'!$C$6</f>
        <v>Arduino Due</v>
      </c>
      <c r="H18" s="28" t="str">
        <f>'Teensy 3.2'!$C$18</f>
        <v>Teensy 3.2</v>
      </c>
      <c r="I18" s="34" t="str">
        <f>'NXP K66'!$C$6</f>
        <v>FRDM-K66F</v>
      </c>
    </row>
    <row r="19" spans="2:9">
      <c r="B19" s="29" t="s">
        <v>92</v>
      </c>
      <c r="C19" s="29">
        <f>'Arduino Uno'!B13</f>
        <v>16</v>
      </c>
      <c r="D19" s="30">
        <f>'Arduino Uno'!C13</f>
        <v>311</v>
      </c>
      <c r="E19" s="30">
        <f>'Arduino M0 Pro'!K12</f>
        <v>114.83</v>
      </c>
      <c r="F19" s="30">
        <f>Maple!D11</f>
        <v>39.39</v>
      </c>
      <c r="G19" s="30">
        <f>'Arduino Due'!D11</f>
        <v>35.69</v>
      </c>
      <c r="H19" s="30">
        <f>'Teensy 3.2'!D23</f>
        <v>30.53</v>
      </c>
      <c r="I19" s="30">
        <f>'NXP K66'!C11</f>
        <v>1.3</v>
      </c>
    </row>
    <row r="20" spans="2:9">
      <c r="B20" s="29" t="s">
        <v>92</v>
      </c>
      <c r="C20" s="29">
        <f>'Arduino Uno'!B14</f>
        <v>32</v>
      </c>
      <c r="D20" s="30">
        <f>'Arduino Uno'!C14</f>
        <v>622</v>
      </c>
      <c r="E20" s="30">
        <f>'Arduino M0 Pro'!K13</f>
        <v>226.47</v>
      </c>
      <c r="F20" s="30">
        <f>Maple!D12</f>
        <v>77.59</v>
      </c>
      <c r="G20" s="30">
        <f>'Arduino Due'!D12</f>
        <v>71.64</v>
      </c>
      <c r="H20" s="30">
        <f>'Teensy 3.2'!D24</f>
        <v>62.01</v>
      </c>
      <c r="I20" s="30">
        <f>'NXP K66'!C12</f>
        <v>2.7</v>
      </c>
    </row>
    <row r="21" spans="2:9">
      <c r="B21" s="29" t="s">
        <v>92</v>
      </c>
      <c r="C21" s="29">
        <f>'Arduino Uno'!B15</f>
        <v>64</v>
      </c>
      <c r="D21" s="30">
        <f>'Arduino Uno'!C15</f>
        <v>1270</v>
      </c>
      <c r="E21" s="30">
        <f>'Arduino M0 Pro'!K14</f>
        <v>446.45</v>
      </c>
      <c r="F21" s="30">
        <f>Maple!D13</f>
        <v>153.84</v>
      </c>
      <c r="G21" s="30">
        <f>'Arduino Due'!D13</f>
        <v>143.43</v>
      </c>
      <c r="H21" s="30">
        <f>'Teensy 3.2'!D25</f>
        <v>124.89</v>
      </c>
      <c r="I21" s="30">
        <f>'NXP K66'!C13</f>
        <v>5</v>
      </c>
    </row>
    <row r="22" spans="2:9">
      <c r="B22" s="29" t="s">
        <v>92</v>
      </c>
      <c r="C22" s="29">
        <f>'Arduino Uno'!B16</f>
        <v>128</v>
      </c>
      <c r="D22" s="30">
        <f>'Arduino Uno'!C16</f>
        <v>2522</v>
      </c>
      <c r="E22" s="30">
        <f>'Arduino M0 Pro'!K15</f>
        <v>892.74</v>
      </c>
      <c r="F22" s="30">
        <f>Maple!D14</f>
        <v>306.20999999999998</v>
      </c>
      <c r="G22" s="30">
        <f>'Arduino Due'!D14</f>
        <v>286.93</v>
      </c>
      <c r="H22" s="30">
        <f>'Teensy 3.2'!D26</f>
        <v>250.57</v>
      </c>
      <c r="I22" s="30">
        <f>'NXP K66'!C14</f>
        <v>10</v>
      </c>
    </row>
    <row r="23" spans="2:9">
      <c r="B23" s="29" t="s">
        <v>92</v>
      </c>
      <c r="C23" s="29">
        <f>'Arduino Uno'!B17</f>
        <v>256</v>
      </c>
      <c r="D23" s="30"/>
      <c r="E23" s="30">
        <f>'Arduino M0 Pro'!K16</f>
        <v>1783.68</v>
      </c>
      <c r="F23" s="30">
        <f>Maple!D15</f>
        <v>610.84</v>
      </c>
      <c r="G23" s="30">
        <f>'Arduino Due'!D15</f>
        <v>573.83000000000004</v>
      </c>
      <c r="H23" s="30">
        <f>'Teensy 3.2'!D27</f>
        <v>501.85</v>
      </c>
      <c r="I23" s="30">
        <f>'NXP K66'!C15</f>
        <v>19.899999999999999</v>
      </c>
    </row>
    <row r="26" spans="2:9" ht="18.75">
      <c r="B26" s="69" t="str">
        <f>B2</f>
        <v>FIR Performance (Naïve C)</v>
      </c>
      <c r="C26" s="69"/>
      <c r="D26" s="69"/>
      <c r="E26" s="69"/>
      <c r="F26" s="69"/>
      <c r="G26" s="69"/>
      <c r="H26" s="69"/>
      <c r="I26" s="69"/>
    </row>
    <row r="27" spans="2:9">
      <c r="B27" s="70" t="s">
        <v>93</v>
      </c>
      <c r="C27" s="71"/>
      <c r="D27" s="70" t="s">
        <v>138</v>
      </c>
      <c r="E27" s="72"/>
      <c r="F27" s="72"/>
      <c r="G27" s="72"/>
      <c r="H27" s="72"/>
      <c r="I27" s="71"/>
    </row>
    <row r="28" spans="2:9">
      <c r="B28" s="17" t="str">
        <f>B4</f>
        <v>Type</v>
      </c>
      <c r="C28" s="17" t="str">
        <f t="shared" ref="C28:I28" si="0">C4</f>
        <v>N of FIR</v>
      </c>
      <c r="D28" s="20" t="str">
        <f t="shared" si="0"/>
        <v>Arduino Uno</v>
      </c>
      <c r="E28" s="20" t="str">
        <f t="shared" si="0"/>
        <v>Arduino M0</v>
      </c>
      <c r="F28" s="20" t="str">
        <f t="shared" si="0"/>
        <v>Maple</v>
      </c>
      <c r="G28" s="20" t="str">
        <f t="shared" si="0"/>
        <v>Arduino Due</v>
      </c>
      <c r="H28" s="20" t="str">
        <f t="shared" si="0"/>
        <v>Teensy 3.2</v>
      </c>
      <c r="I28" s="20" t="str">
        <f t="shared" si="0"/>
        <v>FRDM-K66F</v>
      </c>
    </row>
    <row r="29" spans="2:9">
      <c r="B29" s="16" t="str">
        <f>B5</f>
        <v>Int16</v>
      </c>
      <c r="C29" s="16">
        <f>C5</f>
        <v>16</v>
      </c>
      <c r="D29" s="21">
        <f>1000000/D5</f>
        <v>24390.243902439026</v>
      </c>
      <c r="E29" s="21">
        <f t="shared" ref="E29:I29" si="1">1000000/E5</f>
        <v>109769.48408342482</v>
      </c>
      <c r="F29" s="21">
        <f t="shared" si="1"/>
        <v>155038.75968992247</v>
      </c>
      <c r="G29" s="21">
        <f t="shared" si="1"/>
        <v>154083.20493066256</v>
      </c>
      <c r="H29" s="21">
        <f t="shared" si="1"/>
        <v>502512.56281407038</v>
      </c>
      <c r="I29" s="21">
        <f t="shared" si="1"/>
        <v>714285.71428571432</v>
      </c>
    </row>
    <row r="30" spans="2:9">
      <c r="B30" s="16" t="str">
        <f t="shared" ref="B30:C30" si="2">B6</f>
        <v>Int16</v>
      </c>
      <c r="C30" s="16">
        <f t="shared" si="2"/>
        <v>32</v>
      </c>
      <c r="D30" s="21">
        <f t="shared" ref="D30:I30" si="3">1000000/D6</f>
        <v>12658.227848101265</v>
      </c>
      <c r="E30" s="21">
        <f t="shared" si="3"/>
        <v>57273.768613974797</v>
      </c>
      <c r="F30" s="21">
        <f t="shared" si="3"/>
        <v>80192.46190858059</v>
      </c>
      <c r="G30" s="21">
        <f t="shared" si="3"/>
        <v>79365.079365079364</v>
      </c>
      <c r="H30" s="21">
        <f t="shared" si="3"/>
        <v>261780.10471204191</v>
      </c>
      <c r="I30" s="21">
        <f t="shared" si="3"/>
        <v>357142.85714285716</v>
      </c>
    </row>
    <row r="31" spans="2:9">
      <c r="B31" s="16" t="str">
        <f t="shared" ref="B31:C31" si="4">B7</f>
        <v>Int16</v>
      </c>
      <c r="C31" s="16">
        <f t="shared" si="4"/>
        <v>64</v>
      </c>
      <c r="D31" s="21">
        <f t="shared" ref="D31:I31" si="5">1000000/D7</f>
        <v>6451.6129032258068</v>
      </c>
      <c r="E31" s="21">
        <f t="shared" si="5"/>
        <v>29282.576866764277</v>
      </c>
      <c r="F31" s="21">
        <f t="shared" si="5"/>
        <v>40849.67320261438</v>
      </c>
      <c r="G31" s="21">
        <f t="shared" si="5"/>
        <v>40322.580645161288</v>
      </c>
      <c r="H31" s="21">
        <f t="shared" si="5"/>
        <v>133333.33333333334</v>
      </c>
      <c r="I31" s="21">
        <f t="shared" si="5"/>
        <v>185185.18518518517</v>
      </c>
    </row>
    <row r="32" spans="2:9">
      <c r="B32" s="16" t="str">
        <f t="shared" ref="B32:C32" si="6">B8</f>
        <v>Int16</v>
      </c>
      <c r="C32" s="16">
        <f t="shared" si="6"/>
        <v>128</v>
      </c>
      <c r="D32" s="21">
        <f t="shared" ref="D32:I32" si="7">1000000/D8</f>
        <v>3246.7532467532469</v>
      </c>
      <c r="E32" s="21">
        <f t="shared" si="7"/>
        <v>14803.849000740192</v>
      </c>
      <c r="F32" s="21">
        <f t="shared" si="7"/>
        <v>20605.8108386565</v>
      </c>
      <c r="G32" s="21">
        <f t="shared" si="7"/>
        <v>20321.072952651899</v>
      </c>
      <c r="H32" s="21">
        <f t="shared" si="7"/>
        <v>67340.06734006734</v>
      </c>
      <c r="I32" s="21">
        <f t="shared" si="7"/>
        <v>93457.943925233645</v>
      </c>
    </row>
    <row r="33" spans="2:9">
      <c r="B33" s="16" t="str">
        <f t="shared" ref="B33:C33" si="8">B9</f>
        <v>Int16</v>
      </c>
      <c r="C33" s="16">
        <f t="shared" si="8"/>
        <v>256</v>
      </c>
      <c r="D33" s="21">
        <f t="shared" ref="D33:I33" si="9">1000000/D9</f>
        <v>1633.9869281045751</v>
      </c>
      <c r="E33" s="21">
        <f t="shared" si="9"/>
        <v>7443.2452549311502</v>
      </c>
      <c r="F33" s="21">
        <f t="shared" si="9"/>
        <v>10347.682119205298</v>
      </c>
      <c r="G33" s="21">
        <f t="shared" si="9"/>
        <v>10198.878123406426</v>
      </c>
      <c r="H33" s="21">
        <f t="shared" si="9"/>
        <v>33840.947546531301</v>
      </c>
      <c r="I33" s="21">
        <f t="shared" si="9"/>
        <v>46948.356807511736</v>
      </c>
    </row>
    <row r="34" spans="2:9">
      <c r="B34" s="18"/>
      <c r="C34" s="19"/>
      <c r="D34" s="22"/>
      <c r="E34" s="22"/>
      <c r="F34" s="22"/>
      <c r="G34" s="22"/>
      <c r="H34" s="22"/>
      <c r="I34" s="23"/>
    </row>
    <row r="35" spans="2:9">
      <c r="B35" s="17" t="str">
        <f t="shared" ref="B35:C35" si="10">B11</f>
        <v>Type</v>
      </c>
      <c r="C35" s="17" t="str">
        <f t="shared" si="10"/>
        <v>N of FIR</v>
      </c>
      <c r="D35" s="24" t="str">
        <f>D11</f>
        <v>Arduino Uno</v>
      </c>
      <c r="E35" s="24" t="str">
        <f t="shared" ref="E35:I35" si="11">E11</f>
        <v>Arduino M0</v>
      </c>
      <c r="F35" s="24" t="str">
        <f t="shared" si="11"/>
        <v>Maple</v>
      </c>
      <c r="G35" s="24" t="str">
        <f t="shared" si="11"/>
        <v>Arduino Due</v>
      </c>
      <c r="H35" s="24" t="str">
        <f t="shared" si="11"/>
        <v>Teensy 3.2</v>
      </c>
      <c r="I35" s="24" t="str">
        <f t="shared" si="11"/>
        <v>FRDM-K66F</v>
      </c>
    </row>
    <row r="36" spans="2:9">
      <c r="B36" s="16" t="str">
        <f t="shared" ref="B36:C36" si="12">B12</f>
        <v>Int32</v>
      </c>
      <c r="C36" s="16">
        <f t="shared" si="12"/>
        <v>16</v>
      </c>
      <c r="D36" s="21">
        <f t="shared" ref="D36:I36" si="13">1000000/D12</f>
        <v>7751.937984496124</v>
      </c>
      <c r="E36" s="21">
        <f t="shared" si="13"/>
        <v>92850.510677808736</v>
      </c>
      <c r="F36" s="21">
        <f t="shared" si="13"/>
        <v>180180.18018018018</v>
      </c>
      <c r="G36" s="21">
        <f t="shared" si="13"/>
        <v>154083.20493066256</v>
      </c>
      <c r="H36" s="21">
        <f t="shared" si="13"/>
        <v>502512.56281407038</v>
      </c>
      <c r="I36" s="21">
        <f t="shared" si="13"/>
        <v>833333.33333333337</v>
      </c>
    </row>
    <row r="37" spans="2:9">
      <c r="B37" s="16" t="str">
        <f t="shared" ref="B37:C37" si="14">B13</f>
        <v>Int32</v>
      </c>
      <c r="C37" s="16">
        <f t="shared" si="14"/>
        <v>32</v>
      </c>
      <c r="D37" s="21">
        <f t="shared" ref="D37:I37" si="15">1000000/D13</f>
        <v>3937.0078740157483</v>
      </c>
      <c r="E37" s="21">
        <f t="shared" si="15"/>
        <v>48100.048100048101</v>
      </c>
      <c r="F37" s="21">
        <f t="shared" si="15"/>
        <v>93808.630393996253</v>
      </c>
      <c r="G37" s="21">
        <f t="shared" si="15"/>
        <v>79365.079365079364</v>
      </c>
      <c r="H37" s="21">
        <f t="shared" si="15"/>
        <v>261780.10471204191</v>
      </c>
      <c r="I37" s="21">
        <f t="shared" si="15"/>
        <v>416666.66666666669</v>
      </c>
    </row>
    <row r="38" spans="2:9">
      <c r="B38" s="16" t="str">
        <f t="shared" ref="B38:C38" si="16">B14</f>
        <v>Int32</v>
      </c>
      <c r="C38" s="16">
        <f t="shared" si="16"/>
        <v>64</v>
      </c>
      <c r="D38" s="21">
        <f t="shared" ref="D38:I38" si="17">1000000/D14</f>
        <v>1988.0715705765408</v>
      </c>
      <c r="E38" s="21">
        <f t="shared" si="17"/>
        <v>24491.795248591723</v>
      </c>
      <c r="F38" s="21">
        <f t="shared" si="17"/>
        <v>47824.007651841224</v>
      </c>
      <c r="G38" s="21">
        <f t="shared" si="17"/>
        <v>40322.580645161288</v>
      </c>
      <c r="H38" s="21">
        <f t="shared" si="17"/>
        <v>133333.33333333334</v>
      </c>
      <c r="I38" s="21">
        <f t="shared" si="17"/>
        <v>212765.95744680849</v>
      </c>
    </row>
    <row r="39" spans="2:9">
      <c r="B39" s="16" t="str">
        <f t="shared" ref="B39:C39" si="18">B15</f>
        <v>Int32</v>
      </c>
      <c r="C39" s="16">
        <f t="shared" si="18"/>
        <v>128</v>
      </c>
      <c r="D39" s="21">
        <f t="shared" ref="D39:I39" si="19">1000000/D15</f>
        <v>1000</v>
      </c>
      <c r="E39" s="21">
        <f t="shared" si="19"/>
        <v>12359.411692003461</v>
      </c>
      <c r="F39" s="21">
        <f t="shared" si="19"/>
        <v>24160.425223483933</v>
      </c>
      <c r="G39" s="21">
        <f t="shared" si="19"/>
        <v>20321.072952651899</v>
      </c>
      <c r="H39" s="21">
        <f t="shared" si="19"/>
        <v>67340.06734006734</v>
      </c>
      <c r="I39" s="21">
        <f t="shared" si="19"/>
        <v>107526.8817204301</v>
      </c>
    </row>
    <row r="40" spans="2:9">
      <c r="B40" s="16" t="str">
        <f t="shared" ref="B40:C40" si="20">B16</f>
        <v>Int32</v>
      </c>
      <c r="C40" s="16">
        <f t="shared" si="20"/>
        <v>256</v>
      </c>
      <c r="D40" s="21"/>
      <c r="E40" s="21">
        <f t="shared" ref="E40:I40" si="21">1000000/E16</f>
        <v>6208.8662610207375</v>
      </c>
      <c r="F40" s="21">
        <f t="shared" si="21"/>
        <v>12141.816415735793</v>
      </c>
      <c r="G40" s="21">
        <f t="shared" si="21"/>
        <v>10198.878123406426</v>
      </c>
      <c r="H40" s="21">
        <f t="shared" si="21"/>
        <v>33840.947546531301</v>
      </c>
      <c r="I40" s="21">
        <f t="shared" si="21"/>
        <v>54054.054054054053</v>
      </c>
    </row>
    <row r="41" spans="2:9">
      <c r="B41" s="18"/>
      <c r="C41" s="19"/>
      <c r="D41" s="22"/>
      <c r="E41" s="22"/>
      <c r="F41" s="22"/>
      <c r="G41" s="22"/>
      <c r="H41" s="22"/>
      <c r="I41" s="23"/>
    </row>
    <row r="42" spans="2:9">
      <c r="B42" s="17" t="str">
        <f t="shared" ref="B42:C42" si="22">B18</f>
        <v>Type</v>
      </c>
      <c r="C42" s="17" t="str">
        <f t="shared" si="22"/>
        <v>N of FIR</v>
      </c>
      <c r="D42" s="24" t="str">
        <f>D18</f>
        <v>Arduino Uno</v>
      </c>
      <c r="E42" s="24" t="str">
        <f t="shared" ref="E42:I42" si="23">E18</f>
        <v>Arduino M0</v>
      </c>
      <c r="F42" s="24" t="str">
        <f t="shared" si="23"/>
        <v>Maple</v>
      </c>
      <c r="G42" s="24" t="str">
        <f t="shared" si="23"/>
        <v>Arduino Due</v>
      </c>
      <c r="H42" s="24" t="str">
        <f t="shared" si="23"/>
        <v>Teensy 3.2</v>
      </c>
      <c r="I42" s="24" t="str">
        <f t="shared" si="23"/>
        <v>FRDM-K66F</v>
      </c>
    </row>
    <row r="43" spans="2:9">
      <c r="B43" s="16" t="str">
        <f t="shared" ref="B43:C43" si="24">B19</f>
        <v>Float32</v>
      </c>
      <c r="C43" s="16">
        <f t="shared" si="24"/>
        <v>16</v>
      </c>
      <c r="D43" s="21">
        <f t="shared" ref="D43:I43" si="25">1000000/D19</f>
        <v>3215.4340836012861</v>
      </c>
      <c r="E43" s="21">
        <f t="shared" si="25"/>
        <v>8708.52564660803</v>
      </c>
      <c r="F43" s="21">
        <f t="shared" si="25"/>
        <v>25387.154100025386</v>
      </c>
      <c r="G43" s="21">
        <f t="shared" si="25"/>
        <v>28019.052956010088</v>
      </c>
      <c r="H43" s="21">
        <f t="shared" si="25"/>
        <v>32754.667540124465</v>
      </c>
      <c r="I43" s="21">
        <f t="shared" si="25"/>
        <v>769230.76923076925</v>
      </c>
    </row>
    <row r="44" spans="2:9">
      <c r="B44" s="16" t="str">
        <f t="shared" ref="B44:C44" si="26">B20</f>
        <v>Float32</v>
      </c>
      <c r="C44" s="16">
        <f t="shared" si="26"/>
        <v>32</v>
      </c>
      <c r="D44" s="21">
        <f t="shared" ref="D44:I44" si="27">1000000/D20</f>
        <v>1607.7170418006431</v>
      </c>
      <c r="E44" s="21">
        <f t="shared" si="27"/>
        <v>4415.5958846646354</v>
      </c>
      <c r="F44" s="21">
        <f t="shared" si="27"/>
        <v>12888.258796236629</v>
      </c>
      <c r="G44" s="21">
        <f t="shared" si="27"/>
        <v>13958.682300390843</v>
      </c>
      <c r="H44" s="21">
        <f t="shared" si="27"/>
        <v>16126.431220770844</v>
      </c>
      <c r="I44" s="21">
        <f t="shared" si="27"/>
        <v>370370.37037037034</v>
      </c>
    </row>
    <row r="45" spans="2:9">
      <c r="B45" s="16" t="str">
        <f t="shared" ref="B45:C45" si="28">B21</f>
        <v>Float32</v>
      </c>
      <c r="C45" s="16">
        <f t="shared" si="28"/>
        <v>64</v>
      </c>
      <c r="D45" s="21">
        <f t="shared" ref="D45:I45" si="29">1000000/D21</f>
        <v>787.40157480314963</v>
      </c>
      <c r="E45" s="21">
        <f t="shared" si="29"/>
        <v>2239.8924851607126</v>
      </c>
      <c r="F45" s="21">
        <f t="shared" si="29"/>
        <v>6500.2600104004159</v>
      </c>
      <c r="G45" s="21">
        <f t="shared" si="29"/>
        <v>6972.0421111343512</v>
      </c>
      <c r="H45" s="21">
        <f t="shared" si="29"/>
        <v>8007.0462006565776</v>
      </c>
      <c r="I45" s="21">
        <f t="shared" si="29"/>
        <v>200000</v>
      </c>
    </row>
    <row r="46" spans="2:9">
      <c r="B46" s="16" t="str">
        <f t="shared" ref="B46:C46" si="30">B22</f>
        <v>Float32</v>
      </c>
      <c r="C46" s="16">
        <f t="shared" si="30"/>
        <v>128</v>
      </c>
      <c r="D46" s="21">
        <f t="shared" ref="D46:I46" si="31">1000000/D22</f>
        <v>396.51070578905632</v>
      </c>
      <c r="E46" s="21">
        <f t="shared" si="31"/>
        <v>1120.1469632815824</v>
      </c>
      <c r="F46" s="21">
        <f t="shared" si="31"/>
        <v>3265.7326671238693</v>
      </c>
      <c r="G46" s="21">
        <f t="shared" si="31"/>
        <v>3485.1705991008257</v>
      </c>
      <c r="H46" s="21">
        <f t="shared" si="31"/>
        <v>3990.9007462984396</v>
      </c>
      <c r="I46" s="21">
        <f t="shared" si="31"/>
        <v>100000</v>
      </c>
    </row>
    <row r="47" spans="2:9">
      <c r="B47" s="16" t="str">
        <f t="shared" ref="B47:C47" si="32">B23</f>
        <v>Float32</v>
      </c>
      <c r="C47" s="16">
        <f t="shared" si="32"/>
        <v>256</v>
      </c>
      <c r="D47" s="21"/>
      <c r="E47" s="21">
        <f t="shared" ref="E47:I47" si="33">1000000/E23</f>
        <v>560.63867958378182</v>
      </c>
      <c r="F47" s="21">
        <f t="shared" si="33"/>
        <v>1637.0899089778011</v>
      </c>
      <c r="G47" s="21">
        <f t="shared" si="33"/>
        <v>1742.6764024188346</v>
      </c>
      <c r="H47" s="21">
        <f t="shared" si="33"/>
        <v>1992.6272790674504</v>
      </c>
      <c r="I47" s="21">
        <f t="shared" si="33"/>
        <v>50251.256281407041</v>
      </c>
    </row>
    <row r="50" spans="2:9" ht="18.75">
      <c r="B50" s="69" t="str">
        <f>B2</f>
        <v>FIR Performance (Naïve C)</v>
      </c>
      <c r="C50" s="69"/>
      <c r="D50" s="69"/>
      <c r="E50" s="69"/>
      <c r="F50" s="69"/>
      <c r="G50" s="69"/>
      <c r="H50" s="69"/>
      <c r="I50" s="69"/>
    </row>
    <row r="51" spans="2:9">
      <c r="B51" s="70" t="str">
        <f>B3</f>
        <v>Inputs</v>
      </c>
      <c r="C51" s="71"/>
      <c r="D51" s="70" t="s">
        <v>98</v>
      </c>
      <c r="E51" s="72"/>
      <c r="F51" s="72"/>
      <c r="G51" s="72"/>
      <c r="H51" s="72"/>
      <c r="I51" s="71"/>
    </row>
    <row r="52" spans="2:9">
      <c r="B52" s="28" t="s">
        <v>89</v>
      </c>
      <c r="C52" s="28" t="s">
        <v>97</v>
      </c>
      <c r="D52" s="35" t="str">
        <f t="shared" ref="D52:I52" si="34">D28</f>
        <v>Arduino Uno</v>
      </c>
      <c r="E52" s="35" t="str">
        <f t="shared" si="34"/>
        <v>Arduino M0</v>
      </c>
      <c r="F52" s="35" t="str">
        <f t="shared" si="34"/>
        <v>Maple</v>
      </c>
      <c r="G52" s="35" t="str">
        <f t="shared" si="34"/>
        <v>Arduino Due</v>
      </c>
      <c r="H52" s="35" t="str">
        <f t="shared" si="34"/>
        <v>Teensy 3.2</v>
      </c>
      <c r="I52" s="35" t="str">
        <f t="shared" si="34"/>
        <v>FRDM-K66F</v>
      </c>
    </row>
    <row r="53" spans="2:9">
      <c r="B53" s="29" t="str">
        <f>B32</f>
        <v>Int16</v>
      </c>
      <c r="C53" s="29">
        <v>250</v>
      </c>
      <c r="D53" s="21">
        <f>SQRT($C53/(D8*0.000001/$C8))</f>
        <v>10192.94382875251</v>
      </c>
      <c r="E53" s="21">
        <f t="shared" ref="E53:I53" si="35">SQRT($C53/(E8*0.000001/$C8))</f>
        <v>21765.18247163773</v>
      </c>
      <c r="F53" s="21">
        <f t="shared" si="35"/>
        <v>25678.511382808159</v>
      </c>
      <c r="G53" s="21">
        <f t="shared" si="35"/>
        <v>25500.477142297961</v>
      </c>
      <c r="H53" s="21">
        <f t="shared" si="35"/>
        <v>46420.708254852754</v>
      </c>
      <c r="I53" s="21">
        <f t="shared" si="35"/>
        <v>54686.874161973057</v>
      </c>
    </row>
    <row r="54" spans="2:9">
      <c r="B54" s="29" t="str">
        <f>B39</f>
        <v>Int32</v>
      </c>
      <c r="C54" s="29">
        <v>250</v>
      </c>
      <c r="D54" s="21">
        <f>SQRT($C54/(D15*0.000001/$C15))</f>
        <v>5656.8542494923804</v>
      </c>
      <c r="E54" s="21">
        <f t="shared" ref="E54:I54" si="36">SQRT($C54/(E15*0.000001/$C15))</f>
        <v>19887.211321452556</v>
      </c>
      <c r="F54" s="21">
        <f t="shared" si="36"/>
        <v>27805.280202714839</v>
      </c>
      <c r="G54" s="21">
        <f t="shared" si="36"/>
        <v>25500.477142297961</v>
      </c>
      <c r="H54" s="21">
        <f t="shared" si="36"/>
        <v>46420.708254852754</v>
      </c>
      <c r="I54" s="21">
        <f t="shared" si="36"/>
        <v>58658.846008541317</v>
      </c>
    </row>
    <row r="55" spans="2:9">
      <c r="B55" s="29" t="str">
        <f>B46</f>
        <v>Float32</v>
      </c>
      <c r="C55" s="29">
        <v>250</v>
      </c>
      <c r="D55" s="21">
        <f>SQRT($C55/(D22*0.000001/$C22))</f>
        <v>3562.0699860123191</v>
      </c>
      <c r="E55" s="21">
        <f t="shared" ref="E55:I55" si="37">SQRT($C55/(E22*0.000001/$C22))</f>
        <v>5987.0445818459248</v>
      </c>
      <c r="F55" s="21">
        <f t="shared" si="37"/>
        <v>10222.692666218809</v>
      </c>
      <c r="G55" s="21">
        <f t="shared" si="37"/>
        <v>10560.561498861054</v>
      </c>
      <c r="H55" s="21">
        <f t="shared" si="37"/>
        <v>11300.832884418302</v>
      </c>
      <c r="I55" s="21">
        <f t="shared" si="37"/>
        <v>56568.542494923808</v>
      </c>
    </row>
    <row r="76" spans="2:9">
      <c r="B76" t="s">
        <v>139</v>
      </c>
      <c r="D76" s="15">
        <v>250</v>
      </c>
      <c r="E76" s="15" t="s">
        <v>4</v>
      </c>
    </row>
    <row r="77" spans="2:9">
      <c r="B77" t="s">
        <v>13</v>
      </c>
      <c r="D77" s="15">
        <v>44100</v>
      </c>
      <c r="E77" s="15" t="s">
        <v>4</v>
      </c>
    </row>
    <row r="78" spans="2:9">
      <c r="B78" t="s">
        <v>66</v>
      </c>
      <c r="D78" s="15">
        <f>ROUND(D77/D76,0)</f>
        <v>176</v>
      </c>
    </row>
    <row r="79" spans="2:9" ht="18.75">
      <c r="B79" s="69" t="str">
        <f>B2</f>
        <v>FIR Performance (Naïve C)</v>
      </c>
      <c r="C79" s="69"/>
      <c r="D79" s="69"/>
      <c r="E79" s="69"/>
      <c r="F79" s="69"/>
      <c r="G79" s="69"/>
      <c r="H79" s="69"/>
      <c r="I79" s="69"/>
    </row>
    <row r="80" spans="2:9">
      <c r="B80" s="70" t="str">
        <f>B27</f>
        <v>Inputs</v>
      </c>
      <c r="C80" s="71"/>
      <c r="D80" s="70" t="s">
        <v>140</v>
      </c>
      <c r="E80" s="72"/>
      <c r="F80" s="72"/>
      <c r="G80" s="72"/>
      <c r="H80" s="72"/>
      <c r="I80" s="71"/>
    </row>
    <row r="81" spans="2:9">
      <c r="B81" s="28" t="str">
        <f>B28</f>
        <v>Type</v>
      </c>
      <c r="C81" s="28" t="str">
        <f t="shared" ref="C81:I81" si="38">C28</f>
        <v>N of FIR</v>
      </c>
      <c r="D81" s="28" t="str">
        <f t="shared" si="38"/>
        <v>Arduino Uno</v>
      </c>
      <c r="E81" s="28" t="str">
        <f t="shared" si="38"/>
        <v>Arduino M0</v>
      </c>
      <c r="F81" s="28" t="str">
        <f t="shared" si="38"/>
        <v>Maple</v>
      </c>
      <c r="G81" s="28" t="str">
        <f t="shared" si="38"/>
        <v>Arduino Due</v>
      </c>
      <c r="H81" s="28" t="str">
        <f t="shared" si="38"/>
        <v>Teensy 3.2</v>
      </c>
      <c r="I81" s="28" t="str">
        <f t="shared" si="38"/>
        <v>FRDM-K66F</v>
      </c>
    </row>
    <row r="82" spans="2:9">
      <c r="B82" s="29" t="str">
        <f>B32</f>
        <v>Int16</v>
      </c>
      <c r="C82" s="29">
        <f>$D$78</f>
        <v>176</v>
      </c>
      <c r="D82" s="37">
        <f>D32*$C32/$C82</f>
        <v>2361.2750885478158</v>
      </c>
      <c r="E82" s="37">
        <f t="shared" ref="E82:I82" si="39">E32*$C32/$C82</f>
        <v>10766.435636901959</v>
      </c>
      <c r="F82" s="37">
        <f t="shared" si="39"/>
        <v>14986.044246295636</v>
      </c>
      <c r="G82" s="37">
        <f t="shared" si="39"/>
        <v>14778.962147383199</v>
      </c>
      <c r="H82" s="37">
        <f t="shared" si="39"/>
        <v>48974.594429139885</v>
      </c>
      <c r="I82" s="37">
        <f t="shared" si="39"/>
        <v>67969.413763806282</v>
      </c>
    </row>
    <row r="83" spans="2:9">
      <c r="B83" s="29" t="str">
        <f>B39</f>
        <v>Int32</v>
      </c>
      <c r="C83" s="29">
        <f t="shared" ref="C83:C84" si="40">$D$78</f>
        <v>176</v>
      </c>
      <c r="D83" s="37">
        <f>D39*$C39/$C83</f>
        <v>727.27272727272725</v>
      </c>
      <c r="E83" s="37">
        <f t="shared" ref="E83:I83" si="41">E39*$C39/$C83</f>
        <v>8988.6630487297898</v>
      </c>
      <c r="F83" s="37">
        <f t="shared" si="41"/>
        <v>17571.21834435195</v>
      </c>
      <c r="G83" s="37">
        <f t="shared" si="41"/>
        <v>14778.962147383199</v>
      </c>
      <c r="H83" s="37">
        <f t="shared" si="41"/>
        <v>48974.594429139885</v>
      </c>
      <c r="I83" s="37">
        <f t="shared" si="41"/>
        <v>78201.368523949161</v>
      </c>
    </row>
    <row r="84" spans="2:9">
      <c r="B84" s="29" t="str">
        <f>B46</f>
        <v>Float32</v>
      </c>
      <c r="C84" s="29">
        <f t="shared" si="40"/>
        <v>176</v>
      </c>
      <c r="D84" s="37">
        <f>D46*$C46/$C84</f>
        <v>288.37142239204098</v>
      </c>
      <c r="E84" s="37">
        <f t="shared" ref="E84:I84" si="42">E46*$C46/$C84</f>
        <v>814.65233693205994</v>
      </c>
      <c r="F84" s="37">
        <f t="shared" si="42"/>
        <v>2375.078303362814</v>
      </c>
      <c r="G84" s="37">
        <f t="shared" si="42"/>
        <v>2534.6695266187821</v>
      </c>
      <c r="H84" s="37">
        <f t="shared" si="42"/>
        <v>2902.4732700352288</v>
      </c>
      <c r="I84" s="37">
        <f t="shared" si="42"/>
        <v>72727.272727272721</v>
      </c>
    </row>
  </sheetData>
  <mergeCells count="13">
    <mergeCell ref="B79:I79"/>
    <mergeCell ref="B80:C80"/>
    <mergeCell ref="D80:I80"/>
    <mergeCell ref="B27:C27"/>
    <mergeCell ref="D27:I27"/>
    <mergeCell ref="D51:I51"/>
    <mergeCell ref="B50:I50"/>
    <mergeCell ref="B51:C51"/>
    <mergeCell ref="B2:I2"/>
    <mergeCell ref="D3:I3"/>
    <mergeCell ref="B3:C3"/>
    <mergeCell ref="B17:I17"/>
    <mergeCell ref="B26:I26"/>
  </mergeCells>
  <conditionalFormatting sqref="D53:I55">
    <cfRule type="cellIs" dxfId="14" priority="3" operator="greaterThanOrEqual">
      <formula>44100</formula>
    </cfRule>
    <cfRule type="cellIs" dxfId="13" priority="4" operator="between">
      <formula>32000</formula>
      <formula>44100</formula>
    </cfRule>
    <cfRule type="cellIs" dxfId="12" priority="5" operator="lessThan">
      <formula>32000</formula>
    </cfRule>
  </conditionalFormatting>
  <conditionalFormatting sqref="D82:I84">
    <cfRule type="cellIs" dxfId="11" priority="1" operator="lessThan">
      <formula>$D$77</formula>
    </cfRule>
    <cfRule type="cellIs" dxfId="10" priority="2" operator="greaterThanOrEqual">
      <formula>$D$77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zoomScaleNormal="100" workbookViewId="0">
      <selection activeCell="C59" sqref="C59"/>
    </sheetView>
  </sheetViews>
  <sheetFormatPr defaultRowHeight="15"/>
  <cols>
    <col min="3" max="3" width="9.625" customWidth="1"/>
    <col min="4" max="5" width="10" customWidth="1"/>
    <col min="6" max="9" width="9.25" customWidth="1"/>
    <col min="10" max="10" width="2.125" customWidth="1"/>
    <col min="11" max="11" width="9" customWidth="1"/>
    <col min="12" max="17" width="9.25" customWidth="1"/>
    <col min="18" max="18" width="1.75" customWidth="1"/>
    <col min="19" max="19" width="9.25" customWidth="1"/>
    <col min="20" max="20" width="2.625" customWidth="1"/>
    <col min="21" max="21" width="9.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76" t="s">
        <v>75</v>
      </c>
      <c r="L3" s="76"/>
      <c r="M3" s="76"/>
      <c r="N3" s="76"/>
      <c r="O3" s="76"/>
      <c r="P3" s="76"/>
      <c r="Q3" s="76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K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76" t="s">
        <v>85</v>
      </c>
      <c r="L13" s="76"/>
      <c r="M13" s="76"/>
      <c r="N13" s="76"/>
      <c r="O13" s="76"/>
      <c r="P13" s="76"/>
      <c r="Q13" s="76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N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P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 t="shared" ref="U24:V27" si="12">C24/C32</f>
        <v>7.5853658536585362</v>
      </c>
      <c r="V24" s="6">
        <f t="shared" si="12"/>
        <v>12.604829857299672</v>
      </c>
      <c r="W24" s="6" t="e">
        <f>#REF!/#REF!</f>
        <v>#REF!</v>
      </c>
      <c r="X24" s="6">
        <f t="shared" ref="X24:Z24" si="13">F24/F32</f>
        <v>5.499229583975346</v>
      </c>
      <c r="Y24" s="6">
        <f t="shared" si="13"/>
        <v>13.537037037037035</v>
      </c>
      <c r="Z24" s="6">
        <f t="shared" si="13"/>
        <v>0.92857142857142871</v>
      </c>
    </row>
    <row r="25" spans="1:26">
      <c r="B25">
        <f>'Arduino Uno'!B14</f>
        <v>32</v>
      </c>
      <c r="C25" s="4">
        <f t="shared" ref="C25:C27" si="14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5">I6</f>
        <v>5.6927500000000002</v>
      </c>
      <c r="K25">
        <f t="shared" ref="K25:K35" si="16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7">$C25/I25</f>
        <v>109.26178033463616</v>
      </c>
      <c r="R25" s="6"/>
      <c r="S25" s="6">
        <f t="shared" ref="S25:S35" si="18">G25/H25</f>
        <v>21.499999999999996</v>
      </c>
      <c r="T25" s="6"/>
      <c r="U25" s="6">
        <f t="shared" si="12"/>
        <v>7.8734177215189876</v>
      </c>
      <c r="V25" s="6">
        <f t="shared" si="12"/>
        <v>12.970790378006873</v>
      </c>
      <c r="W25" s="6" t="e">
        <f>#REF!/#REF!</f>
        <v>#REF!</v>
      </c>
      <c r="X25" s="6">
        <f t="shared" ref="X25:X27" si="19">F25/F33</f>
        <v>5.6857142857142859</v>
      </c>
      <c r="Y25" s="6">
        <f t="shared" ref="Y25:Z27" si="20">G25/G33</f>
        <v>13.954326923076922</v>
      </c>
      <c r="Z25" s="6">
        <f t="shared" si="20"/>
        <v>0.96428571428571441</v>
      </c>
    </row>
    <row r="26" spans="1:26">
      <c r="B26">
        <f>'Arduino Uno'!B15</f>
        <v>64</v>
      </c>
      <c r="C26" s="4">
        <f t="shared" si="14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5"/>
        <v>8.3607499999999995</v>
      </c>
      <c r="K26">
        <f t="shared" si="16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7"/>
        <v>151.90024818347638</v>
      </c>
      <c r="R26" s="6"/>
      <c r="S26" s="6">
        <f t="shared" si="18"/>
        <v>23.103999999999999</v>
      </c>
      <c r="T26" s="6"/>
      <c r="U26" s="6">
        <f t="shared" si="12"/>
        <v>8.193548387096774</v>
      </c>
      <c r="V26" s="6">
        <f t="shared" si="12"/>
        <v>13.07320644216691</v>
      </c>
      <c r="W26" s="6" t="e">
        <f>#REF!/#REF!</f>
        <v>#REF!</v>
      </c>
      <c r="X26" s="6">
        <f t="shared" si="19"/>
        <v>5.7834677419354836</v>
      </c>
      <c r="Y26" s="6">
        <f t="shared" si="20"/>
        <v>14.13953488372093</v>
      </c>
      <c r="Z26" s="6">
        <f t="shared" si="20"/>
        <v>0.92592592592592582</v>
      </c>
    </row>
    <row r="27" spans="1:26">
      <c r="B27">
        <f>'Arduino Uno'!B16</f>
        <v>128</v>
      </c>
      <c r="C27" s="4">
        <f t="shared" si="14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5"/>
        <v>8.7690000000000001</v>
      </c>
      <c r="K27">
        <f t="shared" si="16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7"/>
        <v>287.60405975595847</v>
      </c>
      <c r="R27" s="6"/>
      <c r="S27" s="6">
        <f t="shared" si="18"/>
        <v>23.048999999999999</v>
      </c>
      <c r="T27" s="6"/>
      <c r="U27" s="6">
        <f t="shared" si="12"/>
        <v>8.1883116883116891</v>
      </c>
      <c r="V27" s="6">
        <f t="shared" si="12"/>
        <v>13.215988156920799</v>
      </c>
      <c r="W27" s="6" t="e">
        <f>#REF!/#REF!</f>
        <v>#REF!</v>
      </c>
      <c r="X27" s="6">
        <f t="shared" si="19"/>
        <v>5.83072546230441</v>
      </c>
      <c r="Y27" s="6">
        <f t="shared" si="20"/>
        <v>14.22777777777778</v>
      </c>
      <c r="Z27" s="6">
        <f t="shared" si="20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6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7"/>
        <v>23.435371060041785</v>
      </c>
      <c r="R28" s="6"/>
      <c r="S28" s="6">
        <f t="shared" si="18"/>
        <v>1.5428571428571431</v>
      </c>
      <c r="T28" s="6"/>
      <c r="U28" s="6">
        <f t="shared" ref="U28:V31" si="21">C28/C32</f>
        <v>3.1463414634146343</v>
      </c>
      <c r="V28" s="6">
        <f t="shared" si="21"/>
        <v>1.1822173435784853</v>
      </c>
      <c r="W28" s="6" t="e">
        <f>#REF!/#REF!</f>
        <v>#REF!</v>
      </c>
      <c r="X28" s="6">
        <f t="shared" ref="X28:Z28" si="22">F28/F32</f>
        <v>1</v>
      </c>
      <c r="Y28" s="6">
        <f t="shared" si="22"/>
        <v>1</v>
      </c>
      <c r="Z28" s="6">
        <f t="shared" si="22"/>
        <v>1</v>
      </c>
    </row>
    <row r="29" spans="1:26">
      <c r="B29">
        <f t="shared" ref="B29:B35" si="23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4">H33</f>
        <v>2.8</v>
      </c>
      <c r="I29" s="10">
        <f t="shared" ref="I29:I31" si="25">I25</f>
        <v>5.6927500000000002</v>
      </c>
      <c r="K29">
        <f t="shared" si="16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7"/>
        <v>44.618154670414121</v>
      </c>
      <c r="R29" s="6"/>
      <c r="S29" s="6">
        <f t="shared" si="18"/>
        <v>1.4857142857142858</v>
      </c>
      <c r="T29" s="6"/>
      <c r="U29" s="6">
        <f t="shared" si="21"/>
        <v>3.2151898734177213</v>
      </c>
      <c r="V29" s="6">
        <f t="shared" si="21"/>
        <v>1.1907216494845361</v>
      </c>
      <c r="W29" s="6" t="e">
        <f>#REF!/#REF!</f>
        <v>#REF!</v>
      </c>
      <c r="X29" s="6">
        <f t="shared" ref="X29:X31" si="26">F29/F33</f>
        <v>1</v>
      </c>
      <c r="Y29" s="6">
        <f t="shared" ref="Y29:Z31" si="27">G29/G33</f>
        <v>1</v>
      </c>
      <c r="Z29" s="6">
        <f t="shared" si="27"/>
        <v>1</v>
      </c>
    </row>
    <row r="30" spans="1:26">
      <c r="B30">
        <f t="shared" si="23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4"/>
        <v>5.4</v>
      </c>
      <c r="I30" s="10">
        <f t="shared" si="25"/>
        <v>8.3607499999999995</v>
      </c>
      <c r="K30">
        <f t="shared" si="16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7"/>
        <v>60.162066800227258</v>
      </c>
      <c r="R30" s="6"/>
      <c r="S30" s="6">
        <f t="shared" si="18"/>
        <v>1.5129629629629628</v>
      </c>
      <c r="T30" s="6"/>
      <c r="U30" s="6">
        <f t="shared" si="21"/>
        <v>3.2451612903225806</v>
      </c>
      <c r="V30" s="6">
        <f t="shared" si="21"/>
        <v>1.1956076134699853</v>
      </c>
      <c r="W30" s="6" t="e">
        <f>#REF!/#REF!</f>
        <v>#REF!</v>
      </c>
      <c r="X30" s="6">
        <f t="shared" si="26"/>
        <v>1</v>
      </c>
      <c r="Y30" s="6">
        <f t="shared" si="27"/>
        <v>1</v>
      </c>
      <c r="Z30" s="6">
        <f t="shared" si="27"/>
        <v>1</v>
      </c>
    </row>
    <row r="31" spans="1:26">
      <c r="B31">
        <f t="shared" si="23"/>
        <v>128</v>
      </c>
      <c r="C31" s="4">
        <f>'Arduino Uno'!E16</f>
        <v>1000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4"/>
        <v>10.7</v>
      </c>
      <c r="I31" s="10">
        <f t="shared" si="25"/>
        <v>8.7690000000000001</v>
      </c>
      <c r="K31">
        <f t="shared" si="16"/>
        <v>1</v>
      </c>
      <c r="L31">
        <f t="shared" si="9"/>
        <v>12.35941169200346</v>
      </c>
      <c r="M31">
        <f t="shared" si="9"/>
        <v>24.160425223483934</v>
      </c>
      <c r="N31">
        <f t="shared" si="9"/>
        <v>20.3210729526519</v>
      </c>
      <c r="O31">
        <f t="shared" si="10"/>
        <v>61.728395061728399</v>
      </c>
      <c r="P31">
        <f t="shared" si="11"/>
        <v>93.45794392523365</v>
      </c>
      <c r="Q31" s="6">
        <f t="shared" si="17"/>
        <v>114.03808872163303</v>
      </c>
      <c r="R31" s="6"/>
      <c r="S31" s="6">
        <f t="shared" si="18"/>
        <v>1.514018691588785</v>
      </c>
      <c r="T31" s="6"/>
      <c r="U31" s="6">
        <f t="shared" si="21"/>
        <v>3.2467532467532467</v>
      </c>
      <c r="V31" s="6">
        <f t="shared" si="21"/>
        <v>1.197779422649889</v>
      </c>
      <c r="W31" s="6" t="e">
        <f>#REF!/#REF!</f>
        <v>#REF!</v>
      </c>
      <c r="X31" s="6">
        <f t="shared" si="26"/>
        <v>1</v>
      </c>
      <c r="Y31" s="6">
        <f t="shared" si="27"/>
        <v>1</v>
      </c>
      <c r="Z31" s="6">
        <f t="shared" si="27"/>
        <v>1</v>
      </c>
    </row>
    <row r="32" spans="1:26">
      <c r="A32" t="s">
        <v>63</v>
      </c>
      <c r="B32">
        <f t="shared" si="23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6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7"/>
        <v>7.4484512671450629</v>
      </c>
      <c r="R32" s="6"/>
      <c r="S32" s="6">
        <f t="shared" si="18"/>
        <v>1.5428571428571431</v>
      </c>
      <c r="T32" s="6"/>
      <c r="U32" s="6"/>
      <c r="V32" s="6"/>
      <c r="W32" s="6"/>
      <c r="X32" s="6"/>
    </row>
    <row r="33" spans="1:24">
      <c r="B33">
        <f t="shared" si="23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8">G29</f>
        <v>4.16</v>
      </c>
      <c r="H33" s="10">
        <f>'NXP K66'!E12</f>
        <v>2.8</v>
      </c>
      <c r="I33" s="10">
        <f t="shared" ref="I33:I35" si="29">I25</f>
        <v>5.6927500000000002</v>
      </c>
      <c r="K33">
        <f t="shared" si="16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7"/>
        <v>13.877300074656361</v>
      </c>
      <c r="R33" s="6"/>
      <c r="S33" s="6">
        <f t="shared" si="18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8"/>
        <v>8.17</v>
      </c>
      <c r="H34" s="10">
        <f>'NXP K66'!E13</f>
        <v>5.4</v>
      </c>
      <c r="I34" s="10">
        <f t="shared" si="29"/>
        <v>8.3607499999999995</v>
      </c>
      <c r="K34">
        <f t="shared" si="16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7"/>
        <v>18.539006668062076</v>
      </c>
      <c r="R34" s="6"/>
      <c r="S34" s="6">
        <f t="shared" si="18"/>
        <v>1.5129629629629628</v>
      </c>
      <c r="T34" s="6"/>
      <c r="U34" s="6"/>
      <c r="V34" s="6"/>
      <c r="W34" s="6"/>
      <c r="X34" s="6"/>
    </row>
    <row r="35" spans="1:24">
      <c r="B35">
        <f t="shared" si="23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8"/>
        <v>16.2</v>
      </c>
      <c r="H35" s="10">
        <f>'NXP K66'!E14</f>
        <v>10.7</v>
      </c>
      <c r="I35" s="10">
        <f t="shared" si="29"/>
        <v>8.7690000000000001</v>
      </c>
      <c r="K35">
        <f t="shared" si="16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7"/>
        <v>35.12373132626297</v>
      </c>
      <c r="R35" s="6"/>
      <c r="S35" s="6">
        <f t="shared" si="18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30">1/(D25*0.000001)</f>
        <v>4415.5958846646354</v>
      </c>
      <c r="E37" s="8">
        <f t="shared" ref="E37" si="31">1/(E25*0.000001)</f>
        <v>12888.258796236629</v>
      </c>
      <c r="F37" s="8">
        <f t="shared" si="30"/>
        <v>13958.682300390843</v>
      </c>
      <c r="G37" s="8">
        <f t="shared" si="30"/>
        <v>17226.528854435834</v>
      </c>
      <c r="H37" s="8">
        <f t="shared" ref="H37" si="32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" si="33">$C$34/F26</f>
        <v>1.0806665272258245</v>
      </c>
      <c r="O37" s="9">
        <f t="shared" ref="O37" si="34">$C$34/G26</f>
        <v>1.3417590027700832</v>
      </c>
      <c r="P37" s="9">
        <f t="shared" ref="P37" si="35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6">1/(D29*0.000001)</f>
        <v>48100.048100048101</v>
      </c>
      <c r="E38" s="8">
        <f t="shared" ref="E38" si="37">1/(E29*0.000001)</f>
        <v>93808.630393996253</v>
      </c>
      <c r="F38" s="8">
        <f t="shared" si="36"/>
        <v>79365.079365079364</v>
      </c>
      <c r="G38" s="8">
        <f t="shared" si="36"/>
        <v>240384.61538461538</v>
      </c>
      <c r="H38" s="8">
        <f t="shared" ref="H38" si="38">1/(H29*0.000001)</f>
        <v>357142.85714285716</v>
      </c>
      <c r="I38" s="8">
        <f t="shared" ref="I38" si="39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" si="40">$C$34/F30</f>
        <v>6.25</v>
      </c>
      <c r="O38" s="9">
        <f t="shared" ref="O38" si="41">$C$34/G30</f>
        <v>18.971848225214199</v>
      </c>
      <c r="P38" s="9">
        <f t="shared" ref="P38" si="42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3">1/(D33*0.000001)</f>
        <v>57273.768613974804</v>
      </c>
      <c r="E39" s="8">
        <f t="shared" ref="E39" si="44">1/(E33*0.000001)</f>
        <v>80192.46190858059</v>
      </c>
      <c r="F39" s="8">
        <f t="shared" si="43"/>
        <v>79365.079365079364</v>
      </c>
      <c r="G39" s="8">
        <f t="shared" si="43"/>
        <v>240384.61538461538</v>
      </c>
      <c r="H39" s="8">
        <f t="shared" ref="H39" si="45">1/(H33*0.000001)</f>
        <v>357142.85714285716</v>
      </c>
      <c r="I39" s="8">
        <f t="shared" ref="I39" si="46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" si="47">$C$34/F34</f>
        <v>6.25</v>
      </c>
      <c r="O39" s="9">
        <f t="shared" ref="O39" si="48">$C$34/G34</f>
        <v>18.971848225214199</v>
      </c>
      <c r="P39" s="9">
        <f t="shared" ref="P39" si="49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50">C$21</f>
        <v>Arduino Uno</v>
      </c>
      <c r="D58" t="str">
        <f t="shared" si="50"/>
        <v>Arduino M0</v>
      </c>
      <c r="E58" t="str">
        <f t="shared" si="50"/>
        <v>Maple</v>
      </c>
      <c r="F58" t="str">
        <f t="shared" si="50"/>
        <v>Arduino Due</v>
      </c>
      <c r="G58" t="str">
        <f t="shared" si="50"/>
        <v>Teensy 3.2</v>
      </c>
      <c r="H58" t="str">
        <f t="shared" si="50"/>
        <v>FRDM-K66F</v>
      </c>
      <c r="I58" t="str">
        <f t="shared" si="50"/>
        <v>Python, PC</v>
      </c>
      <c r="AA58" t="str">
        <f>C58</f>
        <v>Arduino Uno</v>
      </c>
      <c r="AB58" t="str">
        <f t="shared" ref="AB58" si="51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 t="shared" ref="C59:H59" si="52">SQRT($G$57/((C26*0.000001)/$B26))</f>
        <v>3549.4260376644552</v>
      </c>
      <c r="D59" s="8">
        <f t="shared" si="52"/>
        <v>5986.5081443669142</v>
      </c>
      <c r="E59" s="8">
        <f t="shared" si="52"/>
        <v>10198.24299408514</v>
      </c>
      <c r="F59" s="8">
        <f t="shared" si="52"/>
        <v>10561.849922156138</v>
      </c>
      <c r="G59" s="8">
        <f t="shared" si="52"/>
        <v>11768.778828946262</v>
      </c>
      <c r="H59" s="8">
        <f t="shared" si="52"/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3">C59</f>
        <v>3549.4260376644552</v>
      </c>
      <c r="AB59">
        <f t="shared" ref="AB59:AB61" si="54">D59</f>
        <v>5986.5081443669142</v>
      </c>
      <c r="AC59">
        <f t="shared" ref="AC59:AC61" si="55">G59</f>
        <v>11768.778828946262</v>
      </c>
      <c r="AD59">
        <f t="shared" ref="AD59:AD61" si="56">H59</f>
        <v>56568.542494923808</v>
      </c>
    </row>
    <row r="60" spans="2:30">
      <c r="B60" t="str">
        <f>$A$28</f>
        <v>int32</v>
      </c>
      <c r="C60" s="8">
        <f t="shared" ref="C60:H60" si="57">SQRT($G$57/((C30*0.000001)/$B30))</f>
        <v>5639.9596744324917</v>
      </c>
      <c r="D60" s="8">
        <f t="shared" si="57"/>
        <v>19795.674375415139</v>
      </c>
      <c r="E60" s="8">
        <f t="shared" si="57"/>
        <v>27661.961651868794</v>
      </c>
      <c r="F60" s="8">
        <f t="shared" si="57"/>
        <v>25400.025400038103</v>
      </c>
      <c r="G60" s="8">
        <f t="shared" si="57"/>
        <v>44253.636380814365</v>
      </c>
      <c r="H60" s="8">
        <f t="shared" si="57"/>
        <v>54433.105395181738</v>
      </c>
      <c r="I60" s="8">
        <f>I59</f>
        <v>76361.22447565374</v>
      </c>
      <c r="J60" t="s">
        <v>45</v>
      </c>
      <c r="Z60" t="str">
        <f t="shared" ref="Z60:Z61" si="58">B60</f>
        <v>int32</v>
      </c>
      <c r="AA60">
        <f t="shared" si="53"/>
        <v>5639.9596744324917</v>
      </c>
      <c r="AB60">
        <f t="shared" si="54"/>
        <v>19795.674375415139</v>
      </c>
      <c r="AC60">
        <f t="shared" si="55"/>
        <v>44253.636380814365</v>
      </c>
      <c r="AD60">
        <f t="shared" si="56"/>
        <v>54433.105395181738</v>
      </c>
    </row>
    <row r="61" spans="2:30">
      <c r="B61" t="str">
        <f>$A$32</f>
        <v>int16</v>
      </c>
      <c r="C61" s="8">
        <f t="shared" ref="C61:H61" si="59">SQRT($G$57/((C34*0.000001)/$B34))</f>
        <v>10160.010160015239</v>
      </c>
      <c r="D61" s="8">
        <f t="shared" si="59"/>
        <v>21645.351229957632</v>
      </c>
      <c r="E61" s="8">
        <f t="shared" si="59"/>
        <v>25565.499628245681</v>
      </c>
      <c r="F61" s="8">
        <f t="shared" si="59"/>
        <v>25400.025400038103</v>
      </c>
      <c r="G61" s="8">
        <f t="shared" si="59"/>
        <v>44253.636380814365</v>
      </c>
      <c r="H61" s="8">
        <f t="shared" si="59"/>
        <v>54433.105395181738</v>
      </c>
      <c r="I61" s="8">
        <f>I60</f>
        <v>76361.22447565374</v>
      </c>
      <c r="J61" t="s">
        <v>45</v>
      </c>
      <c r="Z61" t="str">
        <f t="shared" si="58"/>
        <v>int16</v>
      </c>
      <c r="AA61">
        <f t="shared" si="53"/>
        <v>10160.010160015239</v>
      </c>
      <c r="AB61">
        <f t="shared" si="54"/>
        <v>21645.351229957632</v>
      </c>
      <c r="AC61">
        <f t="shared" si="55"/>
        <v>44253.636380814365</v>
      </c>
      <c r="AD61">
        <f t="shared" si="56"/>
        <v>54433.105395181738</v>
      </c>
    </row>
    <row r="79" spans="2:8" s="12" customFormat="1">
      <c r="B79" s="13" t="s">
        <v>68</v>
      </c>
    </row>
    <row r="80" spans="2:8">
      <c r="C80" t="str">
        <f t="shared" ref="C80:H80" si="60">C21</f>
        <v>Arduino Uno</v>
      </c>
      <c r="D80" t="str">
        <f t="shared" si="60"/>
        <v>Arduino M0</v>
      </c>
      <c r="E80" t="str">
        <f t="shared" si="60"/>
        <v>Maple</v>
      </c>
      <c r="F80" t="str">
        <f t="shared" si="60"/>
        <v>Arduino Due</v>
      </c>
      <c r="G80" t="str">
        <f t="shared" si="60"/>
        <v>Teensy 3.2</v>
      </c>
      <c r="H80" t="str">
        <f t="shared" si="60"/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61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61"/>
        <v>16</v>
      </c>
      <c r="C83" s="11">
        <f t="shared" ref="C83:H94" si="62">1000000/C24</f>
        <v>3215.4340836012861</v>
      </c>
      <c r="D83" s="11">
        <f t="shared" si="62"/>
        <v>8708.52564660803</v>
      </c>
      <c r="E83" s="11">
        <f t="shared" ref="E83" si="63">1000000/E24</f>
        <v>25387.154100025386</v>
      </c>
      <c r="F83" s="11">
        <f t="shared" si="62"/>
        <v>28019.052956010088</v>
      </c>
      <c r="G83" s="11">
        <f t="shared" si="62"/>
        <v>34199.726402188782</v>
      </c>
      <c r="H83" s="11">
        <f t="shared" si="62"/>
        <v>769230.76923076925</v>
      </c>
      <c r="I83" s="11"/>
    </row>
    <row r="84" spans="1:9">
      <c r="B84">
        <f t="shared" si="61"/>
        <v>32</v>
      </c>
      <c r="C84" s="11">
        <f t="shared" si="62"/>
        <v>1607.7170418006431</v>
      </c>
      <c r="D84" s="11">
        <f t="shared" si="62"/>
        <v>4415.5958846646354</v>
      </c>
      <c r="E84" s="11">
        <f t="shared" ref="E84" si="64">1000000/E25</f>
        <v>12888.258796236629</v>
      </c>
      <c r="F84" s="11">
        <f t="shared" si="62"/>
        <v>13958.682300390843</v>
      </c>
      <c r="G84" s="11">
        <f t="shared" si="62"/>
        <v>17226.528854435834</v>
      </c>
      <c r="H84" s="11">
        <f t="shared" si="62"/>
        <v>370370.37037037034</v>
      </c>
      <c r="I84" s="11"/>
    </row>
    <row r="85" spans="1:9">
      <c r="B85">
        <f t="shared" si="61"/>
        <v>64</v>
      </c>
      <c r="C85" s="11">
        <f t="shared" si="62"/>
        <v>787.40157480314963</v>
      </c>
      <c r="D85" s="11">
        <f t="shared" si="62"/>
        <v>2239.8924851607126</v>
      </c>
      <c r="E85" s="11">
        <f t="shared" ref="E85" si="65">1000000/E26</f>
        <v>6500.2600104004159</v>
      </c>
      <c r="F85" s="11">
        <f t="shared" si="62"/>
        <v>6972.0421111343512</v>
      </c>
      <c r="G85" s="11">
        <f t="shared" si="62"/>
        <v>8656.5096952908589</v>
      </c>
      <c r="H85" s="11">
        <f t="shared" si="62"/>
        <v>200000</v>
      </c>
      <c r="I85" s="11"/>
    </row>
    <row r="86" spans="1:9">
      <c r="B86">
        <f t="shared" si="61"/>
        <v>128</v>
      </c>
      <c r="C86" s="11">
        <f t="shared" si="62"/>
        <v>396.51070578905632</v>
      </c>
      <c r="D86" s="11">
        <f t="shared" si="62"/>
        <v>1120.1469632815824</v>
      </c>
      <c r="E86" s="11">
        <f t="shared" ref="E86" si="66">1000000/E27</f>
        <v>3265.7326671238693</v>
      </c>
      <c r="F86" s="11">
        <f t="shared" si="62"/>
        <v>3485.1705991008257</v>
      </c>
      <c r="G86" s="11">
        <f t="shared" si="62"/>
        <v>4338.5830187860647</v>
      </c>
      <c r="H86" s="11">
        <f t="shared" si="62"/>
        <v>100000</v>
      </c>
      <c r="I86" s="11"/>
    </row>
    <row r="87" spans="1:9">
      <c r="A87" t="str">
        <f>A28</f>
        <v>int32</v>
      </c>
      <c r="B87">
        <f t="shared" si="61"/>
        <v>16</v>
      </c>
      <c r="C87" s="11">
        <f t="shared" si="62"/>
        <v>7751.937984496124</v>
      </c>
      <c r="D87" s="11">
        <f t="shared" si="62"/>
        <v>92850.510677808736</v>
      </c>
      <c r="E87" s="11">
        <f t="shared" ref="E87" si="67">1000000/E28</f>
        <v>180180.18018018018</v>
      </c>
      <c r="F87" s="11">
        <f t="shared" si="62"/>
        <v>154083.20493066256</v>
      </c>
      <c r="G87" s="11">
        <f t="shared" si="62"/>
        <v>462962.96296296292</v>
      </c>
      <c r="H87" s="11">
        <f t="shared" si="62"/>
        <v>714285.71428571432</v>
      </c>
      <c r="I87" s="11"/>
    </row>
    <row r="88" spans="1:9">
      <c r="B88">
        <f t="shared" si="61"/>
        <v>32</v>
      </c>
      <c r="C88" s="11">
        <f t="shared" si="62"/>
        <v>3937.0078740157483</v>
      </c>
      <c r="D88" s="11">
        <f t="shared" si="62"/>
        <v>48100.048100048101</v>
      </c>
      <c r="E88" s="11">
        <f t="shared" ref="E88" si="68">1000000/E29</f>
        <v>93808.630393996253</v>
      </c>
      <c r="F88" s="11">
        <f t="shared" si="62"/>
        <v>79365.079365079364</v>
      </c>
      <c r="G88" s="11">
        <f t="shared" si="62"/>
        <v>240384.61538461538</v>
      </c>
      <c r="H88" s="11">
        <f t="shared" si="62"/>
        <v>357142.85714285716</v>
      </c>
      <c r="I88" s="11"/>
    </row>
    <row r="89" spans="1:9">
      <c r="B89">
        <f t="shared" si="61"/>
        <v>64</v>
      </c>
      <c r="C89" s="11">
        <f t="shared" si="62"/>
        <v>1988.0715705765408</v>
      </c>
      <c r="D89" s="11">
        <f t="shared" si="62"/>
        <v>24491.795248591723</v>
      </c>
      <c r="E89" s="11">
        <f t="shared" ref="E89" si="69">1000000/E30</f>
        <v>47824.007651841224</v>
      </c>
      <c r="F89" s="11">
        <f t="shared" si="62"/>
        <v>40322.580645161288</v>
      </c>
      <c r="G89" s="11">
        <f t="shared" si="62"/>
        <v>122399.02080783354</v>
      </c>
      <c r="H89" s="11">
        <f t="shared" si="62"/>
        <v>185185.18518518517</v>
      </c>
      <c r="I89" s="11"/>
    </row>
    <row r="90" spans="1:9">
      <c r="B90">
        <f t="shared" si="61"/>
        <v>128</v>
      </c>
      <c r="C90" s="11">
        <f t="shared" si="62"/>
        <v>1000</v>
      </c>
      <c r="D90" s="11">
        <f t="shared" si="62"/>
        <v>12359.411692003461</v>
      </c>
      <c r="E90" s="11">
        <f t="shared" ref="E90" si="70">1000000/E31</f>
        <v>24160.425223483933</v>
      </c>
      <c r="F90" s="11">
        <f t="shared" si="62"/>
        <v>20321.072952651899</v>
      </c>
      <c r="G90" s="11">
        <f t="shared" si="62"/>
        <v>61728.395061728399</v>
      </c>
      <c r="H90" s="11">
        <f t="shared" si="62"/>
        <v>93457.943925233645</v>
      </c>
      <c r="I90" s="11"/>
    </row>
    <row r="91" spans="1:9">
      <c r="A91" t="str">
        <f>A32</f>
        <v>int16</v>
      </c>
      <c r="B91">
        <f t="shared" si="61"/>
        <v>16</v>
      </c>
      <c r="C91" s="11">
        <f t="shared" si="62"/>
        <v>24390.243902439026</v>
      </c>
      <c r="D91" s="11">
        <f t="shared" si="62"/>
        <v>109769.48408342482</v>
      </c>
      <c r="E91" s="11">
        <f t="shared" ref="E91" si="71">1000000/E32</f>
        <v>155038.75968992247</v>
      </c>
      <c r="F91" s="11">
        <f t="shared" si="62"/>
        <v>154083.20493066256</v>
      </c>
      <c r="G91" s="11">
        <f t="shared" si="62"/>
        <v>462962.96296296292</v>
      </c>
      <c r="H91" s="11">
        <f t="shared" si="62"/>
        <v>714285.71428571432</v>
      </c>
      <c r="I91" s="11"/>
    </row>
    <row r="92" spans="1:9">
      <c r="B92">
        <f t="shared" si="61"/>
        <v>32</v>
      </c>
      <c r="C92" s="11">
        <f t="shared" si="62"/>
        <v>12658.227848101265</v>
      </c>
      <c r="D92" s="11">
        <f t="shared" si="62"/>
        <v>57273.768613974797</v>
      </c>
      <c r="E92" s="11">
        <f t="shared" ref="E92" si="72">1000000/E33</f>
        <v>80192.46190858059</v>
      </c>
      <c r="F92" s="11">
        <f t="shared" si="62"/>
        <v>79365.079365079364</v>
      </c>
      <c r="G92" s="11">
        <f t="shared" si="62"/>
        <v>240384.61538461538</v>
      </c>
      <c r="H92" s="11">
        <f t="shared" si="62"/>
        <v>357142.85714285716</v>
      </c>
      <c r="I92" s="11"/>
    </row>
    <row r="93" spans="1:9">
      <c r="B93">
        <f t="shared" si="61"/>
        <v>64</v>
      </c>
      <c r="C93" s="11">
        <f t="shared" si="62"/>
        <v>6451.6129032258068</v>
      </c>
      <c r="D93" s="11">
        <f t="shared" si="62"/>
        <v>29282.576866764277</v>
      </c>
      <c r="E93" s="11">
        <f t="shared" ref="E93" si="73">1000000/E34</f>
        <v>40849.67320261438</v>
      </c>
      <c r="F93" s="11">
        <f t="shared" si="62"/>
        <v>40322.580645161288</v>
      </c>
      <c r="G93" s="11">
        <f t="shared" si="62"/>
        <v>122399.02080783354</v>
      </c>
      <c r="H93" s="11">
        <f t="shared" si="62"/>
        <v>185185.18518518517</v>
      </c>
      <c r="I93" s="11"/>
    </row>
    <row r="94" spans="1:9">
      <c r="B94">
        <f t="shared" si="61"/>
        <v>128</v>
      </c>
      <c r="C94" s="11">
        <f t="shared" si="62"/>
        <v>3246.7532467532469</v>
      </c>
      <c r="D94" s="11">
        <f t="shared" si="62"/>
        <v>14803.849000740192</v>
      </c>
      <c r="E94" s="11">
        <f t="shared" ref="E94" si="74">1000000/E35</f>
        <v>20605.8108386565</v>
      </c>
      <c r="F94" s="11">
        <f t="shared" si="62"/>
        <v>20321.072952651899</v>
      </c>
      <c r="G94" s="11">
        <f t="shared" si="62"/>
        <v>61728.395061728399</v>
      </c>
      <c r="H94" s="11">
        <f t="shared" si="62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75">C$21</f>
        <v>Arduino Uno</v>
      </c>
      <c r="D99" t="str">
        <f t="shared" si="75"/>
        <v>Arduino M0</v>
      </c>
      <c r="E99" t="str">
        <f t="shared" si="75"/>
        <v>Maple</v>
      </c>
      <c r="F99" t="str">
        <f t="shared" si="75"/>
        <v>Arduino Due</v>
      </c>
      <c r="G99" t="str">
        <f t="shared" si="75"/>
        <v>Teensy 3.2</v>
      </c>
      <c r="H99" t="str">
        <f t="shared" si="75"/>
        <v>FRDM-K66F</v>
      </c>
      <c r="I99" t="str">
        <f t="shared" si="75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6">D26*0.000001/$B26</f>
        <v>6.9757812499999997E-6</v>
      </c>
      <c r="E100">
        <f t="shared" si="76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7.8125000000000002E-6</v>
      </c>
      <c r="D101">
        <f t="shared" ref="D101:E101" si="77">D31*0.000001/$B31</f>
        <v>6.3210937499999997E-7</v>
      </c>
      <c r="E101">
        <f t="shared" si="77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8">D35*0.000001/$B35</f>
        <v>5.2773437499999991E-7</v>
      </c>
      <c r="E102">
        <f t="shared" si="78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9">C$21</f>
        <v>Arduino Uno</v>
      </c>
      <c r="D105" t="str">
        <f t="shared" si="79"/>
        <v>Arduino M0</v>
      </c>
      <c r="E105" t="str">
        <f t="shared" si="79"/>
        <v>Maple</v>
      </c>
      <c r="F105" t="str">
        <f t="shared" si="79"/>
        <v>Arduino Due</v>
      </c>
      <c r="G105" t="str">
        <f t="shared" si="79"/>
        <v>Teensy 3.2</v>
      </c>
      <c r="H105" t="str">
        <f t="shared" si="79"/>
        <v>FRDM-K66F</v>
      </c>
      <c r="I105" t="str">
        <f t="shared" si="79"/>
        <v>Python, PC</v>
      </c>
    </row>
    <row r="106" spans="2:9">
      <c r="B106" t="str">
        <f>$A$24</f>
        <v>float</v>
      </c>
      <c r="C106" s="10">
        <f t="shared" ref="C106:I108" si="80">(1/$H$96)/C100</f>
        <v>1.5748031496062995</v>
      </c>
      <c r="D106" s="10">
        <f t="shared" si="80"/>
        <v>4.4797849703214245</v>
      </c>
      <c r="E106" s="10">
        <f t="shared" ref="E106" si="81">(1/$H$96)/E100</f>
        <v>13.000520020800831</v>
      </c>
      <c r="F106" s="10">
        <f t="shared" si="80"/>
        <v>13.944084222268703</v>
      </c>
      <c r="G106" s="10">
        <f t="shared" si="80"/>
        <v>17.313019390581719</v>
      </c>
      <c r="H106" s="10">
        <f t="shared" si="80"/>
        <v>400.00000000000006</v>
      </c>
      <c r="I106" s="10">
        <f t="shared" si="80"/>
        <v>239.21298926531713</v>
      </c>
    </row>
    <row r="107" spans="2:9">
      <c r="B107" t="str">
        <f>$A$28</f>
        <v>int32</v>
      </c>
      <c r="C107" s="10">
        <f t="shared" si="80"/>
        <v>4</v>
      </c>
      <c r="D107" s="10">
        <f t="shared" si="80"/>
        <v>49.437646768013849</v>
      </c>
      <c r="E107" s="10">
        <f t="shared" ref="E107" si="82">(1/$H$96)/E101</f>
        <v>96.641700893935734</v>
      </c>
      <c r="F107" s="10">
        <f t="shared" si="80"/>
        <v>81.284291810607598</v>
      </c>
      <c r="G107" s="10">
        <f t="shared" si="80"/>
        <v>246.91358024691363</v>
      </c>
      <c r="H107" s="10">
        <f t="shared" si="80"/>
        <v>373.8317757009346</v>
      </c>
      <c r="I107" s="10">
        <f t="shared" si="80"/>
        <v>456.15235488653212</v>
      </c>
    </row>
    <row r="108" spans="2:9">
      <c r="B108" t="str">
        <f>$A$32</f>
        <v>int16</v>
      </c>
      <c r="C108" s="10">
        <f t="shared" si="80"/>
        <v>12.987012987012987</v>
      </c>
      <c r="D108" s="10">
        <f t="shared" si="80"/>
        <v>59.21539600296078</v>
      </c>
      <c r="E108" s="10">
        <f t="shared" ref="E108" si="83">(1/$H$96)/E102</f>
        <v>82.42324335462601</v>
      </c>
      <c r="F108" s="10">
        <f t="shared" si="80"/>
        <v>81.284291810607598</v>
      </c>
      <c r="G108" s="10">
        <f t="shared" si="80"/>
        <v>246.91358024691363</v>
      </c>
      <c r="H108" s="10">
        <f t="shared" si="80"/>
        <v>373.8317757009346</v>
      </c>
      <c r="I108" s="10">
        <f t="shared" si="80"/>
        <v>456.15235488653212</v>
      </c>
    </row>
    <row r="110" spans="2:9">
      <c r="B110" t="s">
        <v>74</v>
      </c>
    </row>
    <row r="111" spans="2:9">
      <c r="C111" t="str">
        <f t="shared" ref="C111:I111" si="84">C$21</f>
        <v>Arduino Uno</v>
      </c>
      <c r="D111" t="str">
        <f t="shared" si="84"/>
        <v>Arduino M0</v>
      </c>
      <c r="E111" t="str">
        <f t="shared" si="84"/>
        <v>Maple</v>
      </c>
      <c r="F111" t="str">
        <f t="shared" si="84"/>
        <v>Arduino Due</v>
      </c>
      <c r="G111" t="str">
        <f t="shared" si="84"/>
        <v>Teensy 3.2</v>
      </c>
      <c r="H111" t="str">
        <f t="shared" si="84"/>
        <v>FRDM-K66F</v>
      </c>
      <c r="I111" t="str">
        <f t="shared" si="84"/>
        <v>Python, PC</v>
      </c>
    </row>
    <row r="112" spans="2:9">
      <c r="B112" t="str">
        <f>$A$24</f>
        <v>float</v>
      </c>
      <c r="C112" s="11">
        <f t="shared" ref="C112:I114" si="85">$H$96/C106</f>
        <v>20319.999999999996</v>
      </c>
      <c r="D112" s="11">
        <f t="shared" si="85"/>
        <v>7143.2</v>
      </c>
      <c r="E112" s="11">
        <f t="shared" ref="E112" si="86">$H$96/E106</f>
        <v>2461.44</v>
      </c>
      <c r="F112" s="11">
        <f t="shared" si="85"/>
        <v>2294.88</v>
      </c>
      <c r="G112" s="11">
        <f t="shared" si="85"/>
        <v>1848.32</v>
      </c>
      <c r="H112" s="11">
        <f t="shared" si="85"/>
        <v>79.999999999999986</v>
      </c>
      <c r="I112" s="11">
        <f t="shared" si="85"/>
        <v>133.77199999999999</v>
      </c>
    </row>
    <row r="113" spans="2:9">
      <c r="B113" t="str">
        <f>$A$28</f>
        <v>int32</v>
      </c>
      <c r="C113" s="11">
        <f t="shared" si="85"/>
        <v>8000</v>
      </c>
      <c r="D113" s="11">
        <f t="shared" si="85"/>
        <v>647.28</v>
      </c>
      <c r="E113" s="11">
        <f t="shared" ref="E113" si="87">$H$96/E107</f>
        <v>331.12</v>
      </c>
      <c r="F113" s="11">
        <f t="shared" si="85"/>
        <v>393.68</v>
      </c>
      <c r="G113" s="11">
        <f t="shared" si="85"/>
        <v>129.59999999999997</v>
      </c>
      <c r="H113" s="11">
        <f t="shared" si="85"/>
        <v>85.6</v>
      </c>
      <c r="I113" s="11">
        <f t="shared" si="85"/>
        <v>70.152000000000001</v>
      </c>
    </row>
    <row r="114" spans="2:9">
      <c r="B114" t="str">
        <f>$A$32</f>
        <v>int16</v>
      </c>
      <c r="C114" s="11">
        <f t="shared" si="85"/>
        <v>2464</v>
      </c>
      <c r="D114" s="11">
        <f t="shared" si="85"/>
        <v>540.39999999999986</v>
      </c>
      <c r="E114" s="11">
        <f t="shared" ref="E114" si="88">$H$96/E108</f>
        <v>388.23999999999995</v>
      </c>
      <c r="F114" s="11">
        <f t="shared" si="85"/>
        <v>393.68</v>
      </c>
      <c r="G114" s="11">
        <f t="shared" si="85"/>
        <v>129.59999999999997</v>
      </c>
      <c r="H114" s="11">
        <f t="shared" si="85"/>
        <v>85.6</v>
      </c>
      <c r="I114" s="11">
        <f t="shared" si="85"/>
        <v>70.152000000000001</v>
      </c>
    </row>
  </sheetData>
  <mergeCells count="2">
    <mergeCell ref="K3:Q3"/>
    <mergeCell ref="K13:Q13"/>
  </mergeCells>
  <conditionalFormatting sqref="C24:I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I39 C59:I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17" sqref="E17"/>
    </sheetView>
  </sheetViews>
  <sheetFormatPr defaultRowHeight="15"/>
  <cols>
    <col min="11" max="12" width="9.1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1000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1000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Systems</vt:lpstr>
      <vt:lpstr>Pretty wARM</vt:lpstr>
      <vt:lpstr>Pretty Comparison</vt:lpstr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  <vt:lpstr>Sheet2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2015-07-13T14:29:55Z</dcterms:created>
  <dcterms:modified xsi:type="dcterms:W3CDTF">2017-02-22T01:50:10Z</dcterms:modified>
</cp:coreProperties>
</file>