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255" tabRatio="532"/>
  </bookViews>
  <sheets>
    <sheet name="part 1" sheetId="1" r:id="rId1"/>
    <sheet name="part 2 &amp; 3" sheetId="3" r:id="rId2"/>
  </sheets>
  <calcPr calcId="145621" iterate="1"/>
</workbook>
</file>

<file path=xl/calcChain.xml><?xml version="1.0" encoding="utf-8"?>
<calcChain xmlns="http://schemas.openxmlformats.org/spreadsheetml/2006/main">
  <c r="L20" i="1" l="1"/>
  <c r="M20" i="1"/>
  <c r="J18" i="1"/>
  <c r="J17" i="1"/>
  <c r="J16" i="1"/>
  <c r="J15" i="1"/>
  <c r="J14" i="1"/>
  <c r="J13" i="1"/>
  <c r="J12" i="1"/>
  <c r="J11" i="1"/>
  <c r="J10" i="1"/>
  <c r="J9" i="1"/>
  <c r="J8" i="1"/>
  <c r="J7" i="1"/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V14" i="3" l="1"/>
  <c r="V13" i="3"/>
  <c r="U14" i="3"/>
  <c r="U15" i="3" s="1"/>
  <c r="S14" i="3"/>
  <c r="S15" i="3"/>
  <c r="S16" i="3"/>
  <c r="S17" i="3"/>
  <c r="S13" i="3"/>
  <c r="R14" i="3"/>
  <c r="R15" i="3"/>
  <c r="R16" i="3"/>
  <c r="R17" i="3"/>
  <c r="R13" i="3"/>
  <c r="E13" i="3"/>
  <c r="E14" i="3"/>
  <c r="E15" i="3"/>
  <c r="E16" i="3"/>
  <c r="E17" i="3"/>
  <c r="L17" i="3"/>
  <c r="K17" i="3"/>
  <c r="P15" i="3"/>
  <c r="J17" i="3"/>
  <c r="J16" i="3"/>
  <c r="N17" i="3"/>
  <c r="N16" i="3"/>
  <c r="N15" i="3"/>
  <c r="P14" i="3"/>
  <c r="N14" i="3"/>
  <c r="H13" i="3"/>
  <c r="B7" i="3"/>
  <c r="V15" i="3" l="1"/>
  <c r="U16" i="3"/>
  <c r="G12" i="3"/>
  <c r="F12" i="3" s="1"/>
  <c r="U17" i="3" l="1"/>
  <c r="V16" i="3"/>
  <c r="B10" i="1"/>
  <c r="G16" i="1"/>
  <c r="G17" i="1"/>
  <c r="G15" i="1"/>
  <c r="G12" i="1"/>
  <c r="G13" i="1"/>
  <c r="G11" i="1"/>
  <c r="G8" i="1"/>
  <c r="G9" i="1"/>
  <c r="G7" i="1"/>
  <c r="F16" i="1"/>
  <c r="F17" i="1"/>
  <c r="F15" i="1"/>
  <c r="F12" i="1"/>
  <c r="F13" i="1"/>
  <c r="F11" i="1"/>
  <c r="F8" i="1"/>
  <c r="F9" i="1"/>
  <c r="F7" i="1"/>
  <c r="L14" i="1"/>
  <c r="K14" i="1"/>
  <c r="L9" i="1" l="1"/>
  <c r="U18" i="3"/>
  <c r="V17" i="3"/>
  <c r="K12" i="1"/>
  <c r="K15" i="1"/>
  <c r="K18" i="1"/>
  <c r="L18" i="1" s="1"/>
  <c r="K8" i="1"/>
  <c r="K10" i="1"/>
  <c r="L10" i="1" s="1"/>
  <c r="K11" i="1"/>
  <c r="K9" i="1"/>
  <c r="K13" i="1"/>
  <c r="K17" i="1"/>
  <c r="K7" i="1"/>
  <c r="L7" i="1" s="1"/>
  <c r="K16" i="1"/>
  <c r="L11" i="1"/>
  <c r="L12" i="1"/>
  <c r="I18" i="1"/>
  <c r="M18" i="1" s="1"/>
  <c r="I17" i="1"/>
  <c r="M17" i="1" s="1"/>
  <c r="I15" i="1"/>
  <c r="M15" i="1" s="1"/>
  <c r="I16" i="1"/>
  <c r="M16" i="1" s="1"/>
  <c r="I14" i="1"/>
  <c r="M14" i="1" s="1"/>
  <c r="I13" i="1"/>
  <c r="M13" i="1" s="1"/>
  <c r="I11" i="1"/>
  <c r="M11" i="1" s="1"/>
  <c r="I12" i="1"/>
  <c r="M12" i="1" s="1"/>
  <c r="I10" i="1"/>
  <c r="M10" i="1" s="1"/>
  <c r="I8" i="1"/>
  <c r="M8" i="1" s="1"/>
  <c r="I9" i="1"/>
  <c r="M9" i="1" s="1"/>
  <c r="I7" i="1"/>
  <c r="M7" i="1" s="1"/>
  <c r="L15" i="1" l="1"/>
  <c r="L13" i="1"/>
  <c r="L16" i="1"/>
  <c r="L8" i="1"/>
  <c r="L17" i="1"/>
  <c r="U19" i="3"/>
  <c r="V18" i="3"/>
  <c r="U20" i="3" l="1"/>
  <c r="V19" i="3"/>
  <c r="B8" i="1"/>
  <c r="U21" i="3" l="1"/>
  <c r="V20" i="3"/>
  <c r="A13" i="3"/>
  <c r="D13" i="3"/>
  <c r="G13" i="3"/>
  <c r="B14" i="3"/>
  <c r="U22" i="3" l="1"/>
  <c r="V21" i="3"/>
  <c r="I16" i="3"/>
  <c r="I15" i="3"/>
  <c r="I14" i="3"/>
  <c r="I17" i="3"/>
  <c r="F13" i="3"/>
  <c r="M14" i="3"/>
  <c r="A14" i="3"/>
  <c r="D14" i="3" s="1"/>
  <c r="B15" i="3"/>
  <c r="A15" i="3" s="1"/>
  <c r="B16" i="3"/>
  <c r="B17" i="3"/>
  <c r="U23" i="3" l="1"/>
  <c r="V22" i="3"/>
  <c r="O14" i="3"/>
  <c r="H14" i="3" s="1"/>
  <c r="D15" i="3"/>
  <c r="A16" i="3"/>
  <c r="U24" i="3" l="1"/>
  <c r="V23" i="3"/>
  <c r="J15" i="3"/>
  <c r="M15" i="3" s="1"/>
  <c r="O15" i="3" s="1"/>
  <c r="G14" i="3"/>
  <c r="F14" i="3"/>
  <c r="D16" i="3"/>
  <c r="A17" i="3"/>
  <c r="D17" i="3" s="1"/>
  <c r="U25" i="3" l="1"/>
  <c r="V24" i="3"/>
  <c r="H15" i="3"/>
  <c r="P16" i="3" s="1"/>
  <c r="U26" i="3" l="1"/>
  <c r="V25" i="3"/>
  <c r="K16" i="3"/>
  <c r="M16" i="3" s="1"/>
  <c r="F15" i="3"/>
  <c r="G15" i="3"/>
  <c r="U27" i="3" l="1"/>
  <c r="V26" i="3"/>
  <c r="O16" i="3"/>
  <c r="H16" i="3" s="1"/>
  <c r="P17" i="3" s="1"/>
  <c r="U28" i="3" l="1"/>
  <c r="V27" i="3"/>
  <c r="M17" i="3"/>
  <c r="G16" i="3"/>
  <c r="F16" i="3"/>
  <c r="U29" i="3" l="1"/>
  <c r="V28" i="3"/>
  <c r="O17" i="3"/>
  <c r="H17" i="3" s="1"/>
  <c r="U30" i="3" l="1"/>
  <c r="V29" i="3"/>
  <c r="F17" i="3"/>
  <c r="G17" i="3"/>
  <c r="U31" i="3" l="1"/>
  <c r="V30" i="3"/>
  <c r="U32" i="3" l="1"/>
  <c r="V31" i="3"/>
  <c r="U33" i="3" l="1"/>
  <c r="V32" i="3"/>
  <c r="U34" i="3" l="1"/>
  <c r="V33" i="3"/>
  <c r="U35" i="3" l="1"/>
  <c r="V34" i="3"/>
  <c r="U36" i="3" l="1"/>
  <c r="V35" i="3"/>
  <c r="U37" i="3" l="1"/>
  <c r="V36" i="3"/>
  <c r="U38" i="3" l="1"/>
  <c r="V37" i="3"/>
  <c r="U39" i="3" l="1"/>
  <c r="V38" i="3"/>
  <c r="U40" i="3" l="1"/>
  <c r="V39" i="3"/>
  <c r="U41" i="3" l="1"/>
  <c r="V40" i="3"/>
  <c r="U42" i="3" l="1"/>
  <c r="V41" i="3"/>
  <c r="U43" i="3" l="1"/>
  <c r="V42" i="3"/>
  <c r="U44" i="3" l="1"/>
  <c r="V43" i="3"/>
  <c r="U45" i="3" l="1"/>
  <c r="V44" i="3"/>
  <c r="U46" i="3" l="1"/>
  <c r="V45" i="3"/>
  <c r="U47" i="3" l="1"/>
  <c r="V46" i="3"/>
  <c r="U48" i="3" l="1"/>
  <c r="V47" i="3"/>
  <c r="V48" i="3" l="1"/>
  <c r="U49" i="3"/>
  <c r="U50" i="3" l="1"/>
  <c r="V49" i="3"/>
  <c r="U51" i="3" l="1"/>
  <c r="V50" i="3"/>
  <c r="U52" i="3" l="1"/>
  <c r="V51" i="3"/>
  <c r="U53" i="3" l="1"/>
  <c r="V52" i="3"/>
  <c r="U54" i="3" l="1"/>
  <c r="V53" i="3"/>
  <c r="U55" i="3" l="1"/>
  <c r="V54" i="3"/>
  <c r="U56" i="3" l="1"/>
  <c r="V55" i="3"/>
  <c r="U57" i="3" l="1"/>
  <c r="V56" i="3"/>
  <c r="U58" i="3" l="1"/>
  <c r="V57" i="3"/>
  <c r="U59" i="3" l="1"/>
  <c r="V58" i="3"/>
  <c r="U60" i="3" l="1"/>
  <c r="V59" i="3"/>
  <c r="U61" i="3" l="1"/>
  <c r="V60" i="3"/>
  <c r="U62" i="3" l="1"/>
  <c r="V61" i="3"/>
  <c r="V62" i="3" l="1"/>
  <c r="U63" i="3"/>
  <c r="V63" i="3" s="1"/>
</calcChain>
</file>

<file path=xl/sharedStrings.xml><?xml version="1.0" encoding="utf-8"?>
<sst xmlns="http://schemas.openxmlformats.org/spreadsheetml/2006/main" count="61" uniqueCount="58">
  <si>
    <t>freq</t>
  </si>
  <si>
    <t>TIME</t>
  </si>
  <si>
    <t>DF</t>
  </si>
  <si>
    <t>P</t>
  </si>
  <si>
    <t>PD</t>
  </si>
  <si>
    <t>SUM</t>
  </si>
  <si>
    <t>N=</t>
  </si>
  <si>
    <t>notional</t>
  </si>
  <si>
    <t>RR=</t>
  </si>
  <si>
    <t>recovery rate</t>
  </si>
  <si>
    <t>MTM=</t>
  </si>
  <si>
    <t>Lambda</t>
  </si>
  <si>
    <t>(bps)</t>
  </si>
  <si>
    <t>PL</t>
  </si>
  <si>
    <t>PL accruals</t>
  </si>
  <si>
    <t>DL</t>
  </si>
  <si>
    <t>Total PL</t>
  </si>
  <si>
    <t>PERIOD DEFAULT PROB</t>
  </si>
  <si>
    <t>CUM DEFAULT PROB</t>
  </si>
  <si>
    <t>CUM SURVIVAL PROB</t>
  </si>
  <si>
    <t>MARKET</t>
  </si>
  <si>
    <t>HAZARD RATES</t>
  </si>
  <si>
    <t>P(t-1)-P(t)</t>
  </si>
  <si>
    <t>1-P(t)</t>
  </si>
  <si>
    <t>P(t)</t>
  </si>
  <si>
    <t>TIME (Years)</t>
  </si>
  <si>
    <t>dt</t>
  </si>
  <si>
    <t>CDS</t>
  </si>
  <si>
    <t>PD_cum</t>
  </si>
  <si>
    <t>P_cum</t>
  </si>
  <si>
    <t>1st term</t>
  </si>
  <si>
    <t>2nd term</t>
  </si>
  <si>
    <t>3rd term</t>
  </si>
  <si>
    <t>4th term</t>
  </si>
  <si>
    <t>sum</t>
  </si>
  <si>
    <t>quotient</t>
  </si>
  <si>
    <t>first term</t>
  </si>
  <si>
    <t>last term</t>
  </si>
  <si>
    <t>r=</t>
  </si>
  <si>
    <t>RR</t>
  </si>
  <si>
    <t>Params:</t>
  </si>
  <si>
    <t>Exponential pdf</t>
  </si>
  <si>
    <t>L</t>
  </si>
  <si>
    <t>0-1</t>
  </si>
  <si>
    <t>1-2</t>
  </si>
  <si>
    <t>2-3</t>
  </si>
  <si>
    <t>3-4</t>
  </si>
  <si>
    <t>4-5</t>
  </si>
  <si>
    <t>PERIOD</t>
  </si>
  <si>
    <t>t</t>
  </si>
  <si>
    <t>f(t)</t>
  </si>
  <si>
    <t>PDF</t>
  </si>
  <si>
    <t>CDS pricing</t>
  </si>
  <si>
    <t>Period Legend</t>
  </si>
  <si>
    <t>Cross-check</t>
  </si>
  <si>
    <t>Credit Curve - bootstrapping of survival probabilities and hazard rate term structure</t>
  </si>
  <si>
    <t>s_N (spread)</t>
  </si>
  <si>
    <t>dt=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</si>
</sst>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0"/>
    <numFmt numFmtId="165" formatCode="0.000000"/>
    <numFmt numFmtId="167" formatCode="0.00000"/>
    <numFmt numFmtId="168" formatCode="_-&quot;£&quot;* #,##0.0000000_-;\-&quot;£&quot;* #,##0.0000000_-;_-&quot;£&quot;* &quot;-&quot;??_-;_-@_-"/>
    <numFmt numFmtId="169" formatCode="_-&quot;£&quot;* #,##0.000000000_-;\-&quot;£&quot;* #,##0.000000000_-;_-&quot;£&quot;* &quot;-&quot;??_-;_-@_-"/>
    <numFmt numFmtId="170" formatCode="_-&quot;£&quot;* #,##0.0000000000_-;\-&quot;£&quot;* #,##0.0000000000_-;_-&quot;£&quot;* &quot;-&quot;??_-;_-@_-"/>
    <numFmt numFmtId="171" formatCode="0.0"/>
    <numFmt numFmtId="172" formatCode="_-* #,##0.000000_-;\-* #,##0.000000_-;_-* &quot;-&quot;??_-;_-@_-"/>
    <numFmt numFmtId="173" formatCode="0.0000%"/>
    <numFmt numFmtId="174" formatCode="0.00000%"/>
    <numFmt numFmtId="177" formatCode="0.000000000"/>
    <numFmt numFmtId="184" formatCode="_-&quot;£&quot;* #,##0.000000_-;\-&quot;£&quot;* #,##0.000000_-;_-&quot;£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BFBFBF"/>
      <name val="Tahoma"/>
      <family val="2"/>
    </font>
    <font>
      <sz val="10"/>
      <name val="Times New Roman"/>
      <family val="1"/>
    </font>
    <font>
      <b/>
      <sz val="18"/>
      <color theme="3"/>
      <name val="Cambria"/>
      <family val="2"/>
      <scheme val="major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8" fillId="8" borderId="4" applyNumberFormat="0" applyAlignment="0" applyProtection="0"/>
    <xf numFmtId="0" fontId="9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165" fontId="0" fillId="0" borderId="0" xfId="0" applyNumberFormat="1"/>
    <xf numFmtId="0" fontId="0" fillId="2" borderId="0" xfId="0" applyFill="1" applyBorder="1"/>
    <xf numFmtId="2" fontId="0" fillId="0" borderId="0" xfId="0" applyNumberFormat="1"/>
    <xf numFmtId="167" fontId="0" fillId="0" borderId="0" xfId="0" applyNumberFormat="1"/>
    <xf numFmtId="0" fontId="6" fillId="0" borderId="0" xfId="0" applyFont="1"/>
    <xf numFmtId="10" fontId="6" fillId="0" borderId="0" xfId="2" applyNumberFormat="1" applyFont="1"/>
    <xf numFmtId="10" fontId="6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5" fillId="3" borderId="2" xfId="3" applyFont="1" applyFill="1" applyAlignment="1">
      <alignment horizontal="center"/>
    </xf>
    <xf numFmtId="0" fontId="3" fillId="3" borderId="2" xfId="5" applyFont="1" applyFill="1" applyBorder="1" applyAlignment="1">
      <alignment horizontal="center"/>
    </xf>
    <xf numFmtId="0" fontId="5" fillId="3" borderId="2" xfId="3" applyFont="1" applyFill="1" applyAlignment="1">
      <alignment horizontal="center" wrapText="1"/>
    </xf>
    <xf numFmtId="0" fontId="11" fillId="0" borderId="0" xfId="7" applyFont="1"/>
    <xf numFmtId="0" fontId="10" fillId="9" borderId="5" xfId="7" applyFont="1" applyFill="1" applyBorder="1" applyAlignment="1">
      <alignment horizontal="center"/>
    </xf>
    <xf numFmtId="0" fontId="10" fillId="9" borderId="6" xfId="7" applyFont="1" applyFill="1" applyBorder="1" applyAlignment="1">
      <alignment horizontal="center"/>
    </xf>
    <xf numFmtId="0" fontId="10" fillId="9" borderId="7" xfId="7" applyFont="1" applyFill="1" applyBorder="1" applyAlignment="1">
      <alignment horizontal="center"/>
    </xf>
    <xf numFmtId="171" fontId="8" fillId="8" borderId="8" xfId="6" applyNumberFormat="1" applyFont="1" applyBorder="1" applyAlignment="1">
      <alignment horizontal="center"/>
    </xf>
    <xf numFmtId="0" fontId="11" fillId="0" borderId="8" xfId="7" applyNumberFormat="1" applyFont="1" applyBorder="1" applyAlignment="1">
      <alignment horizontal="center"/>
    </xf>
    <xf numFmtId="9" fontId="11" fillId="0" borderId="8" xfId="7" applyNumberFormat="1" applyFont="1" applyBorder="1"/>
    <xf numFmtId="172" fontId="8" fillId="8" borderId="8" xfId="6" applyNumberFormat="1" applyFont="1" applyBorder="1" applyAlignment="1">
      <alignment horizontal="center"/>
    </xf>
    <xf numFmtId="173" fontId="11" fillId="0" borderId="8" xfId="7" applyNumberFormat="1" applyFont="1" applyBorder="1" applyAlignment="1">
      <alignment horizontal="center"/>
    </xf>
    <xf numFmtId="173" fontId="8" fillId="8" borderId="8" xfId="6" applyNumberFormat="1" applyFont="1" applyBorder="1" applyAlignment="1">
      <alignment horizontal="center"/>
    </xf>
    <xf numFmtId="172" fontId="11" fillId="0" borderId="8" xfId="9" applyNumberFormat="1" applyFont="1" applyBorder="1" applyAlignment="1">
      <alignment horizontal="center"/>
    </xf>
    <xf numFmtId="171" fontId="11" fillId="0" borderId="8" xfId="7" applyNumberFormat="1" applyFont="1" applyBorder="1" applyAlignment="1">
      <alignment horizontal="center"/>
    </xf>
    <xf numFmtId="43" fontId="8" fillId="8" borderId="8" xfId="6" applyNumberFormat="1" applyFont="1" applyBorder="1" applyAlignment="1">
      <alignment horizontal="center"/>
    </xf>
    <xf numFmtId="0" fontId="11" fillId="10" borderId="0" xfId="7" applyFont="1" applyFill="1"/>
    <xf numFmtId="0" fontId="11" fillId="0" borderId="0" xfId="7" applyFont="1" applyFill="1"/>
    <xf numFmtId="0" fontId="13" fillId="0" borderId="0" xfId="10" applyFont="1" applyFill="1" applyAlignment="1">
      <alignment wrapText="1"/>
    </xf>
    <xf numFmtId="0" fontId="8" fillId="8" borderId="4" xfId="6" applyAlignment="1">
      <alignment horizontal="right"/>
    </xf>
    <xf numFmtId="10" fontId="8" fillId="8" borderId="4" xfId="6" applyNumberFormat="1"/>
    <xf numFmtId="174" fontId="11" fillId="0" borderId="8" xfId="7" applyNumberFormat="1" applyFont="1" applyBorder="1" applyAlignment="1">
      <alignment horizontal="center"/>
    </xf>
    <xf numFmtId="172" fontId="11" fillId="0" borderId="10" xfId="9" applyNumberFormat="1" applyFont="1" applyBorder="1" applyAlignment="1">
      <alignment horizontal="center"/>
    </xf>
    <xf numFmtId="0" fontId="11" fillId="0" borderId="9" xfId="7" applyFont="1" applyBorder="1"/>
    <xf numFmtId="49" fontId="11" fillId="0" borderId="9" xfId="7" applyNumberFormat="1" applyFont="1" applyBorder="1"/>
    <xf numFmtId="49" fontId="11" fillId="10" borderId="9" xfId="7" applyNumberFormat="1" applyFont="1" applyFill="1" applyBorder="1"/>
    <xf numFmtId="2" fontId="7" fillId="0" borderId="2" xfId="0" applyNumberFormat="1" applyFont="1" applyBorder="1"/>
    <xf numFmtId="164" fontId="7" fillId="0" borderId="2" xfId="0" applyNumberFormat="1" applyFont="1" applyBorder="1"/>
    <xf numFmtId="167" fontId="7" fillId="0" borderId="2" xfId="0" applyNumberFormat="1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7" fontId="0" fillId="0" borderId="2" xfId="0" applyNumberFormat="1" applyBorder="1"/>
    <xf numFmtId="169" fontId="0" fillId="0" borderId="2" xfId="1" applyNumberFormat="1" applyFont="1" applyBorder="1" applyAlignment="1">
      <alignment horizontal="center"/>
    </xf>
    <xf numFmtId="170" fontId="0" fillId="0" borderId="2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2" fontId="7" fillId="7" borderId="2" xfId="0" applyNumberFormat="1" applyFont="1" applyFill="1" applyBorder="1"/>
    <xf numFmtId="164" fontId="7" fillId="7" borderId="2" xfId="0" applyNumberFormat="1" applyFont="1" applyFill="1" applyBorder="1"/>
    <xf numFmtId="167" fontId="7" fillId="7" borderId="2" xfId="0" applyNumberFormat="1" applyFont="1" applyFill="1" applyBorder="1"/>
    <xf numFmtId="169" fontId="0" fillId="7" borderId="2" xfId="1" applyNumberFormat="1" applyFont="1" applyFill="1" applyBorder="1" applyAlignment="1">
      <alignment horizontal="center"/>
    </xf>
    <xf numFmtId="168" fontId="0" fillId="7" borderId="2" xfId="1" applyNumberFormat="1" applyFont="1" applyFill="1" applyBorder="1" applyAlignment="1">
      <alignment horizontal="center"/>
    </xf>
    <xf numFmtId="2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44" fontId="0" fillId="0" borderId="0" xfId="1" applyFont="1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0" fontId="4" fillId="5" borderId="3" xfId="4" applyFont="1" applyAlignment="1">
      <alignment horizontal="center"/>
    </xf>
    <xf numFmtId="0" fontId="16" fillId="0" borderId="0" xfId="7" applyFont="1" applyFill="1"/>
    <xf numFmtId="0" fontId="0" fillId="0" borderId="3" xfId="0" applyBorder="1" applyAlignment="1">
      <alignment horizontal="center"/>
    </xf>
    <xf numFmtId="0" fontId="15" fillId="0" borderId="0" xfId="13"/>
    <xf numFmtId="173" fontId="0" fillId="0" borderId="0" xfId="2" applyNumberFormat="1" applyFont="1"/>
    <xf numFmtId="173" fontId="0" fillId="0" borderId="2" xfId="2" applyNumberFormat="1" applyFont="1" applyBorder="1"/>
    <xf numFmtId="173" fontId="0" fillId="7" borderId="2" xfId="2" applyNumberFormat="1" applyFont="1" applyFill="1" applyBorder="1"/>
    <xf numFmtId="0" fontId="0" fillId="5" borderId="3" xfId="4" applyFont="1"/>
    <xf numFmtId="164" fontId="0" fillId="0" borderId="0" xfId="0" applyNumberFormat="1" applyBorder="1"/>
    <xf numFmtId="184" fontId="0" fillId="0" borderId="0" xfId="1" applyNumberFormat="1" applyFont="1" applyAlignment="1">
      <alignment horizontal="center"/>
    </xf>
    <xf numFmtId="177" fontId="0" fillId="0" borderId="0" xfId="0" applyNumberFormat="1"/>
    <xf numFmtId="174" fontId="0" fillId="0" borderId="0" xfId="2" applyNumberFormat="1" applyFont="1"/>
  </cellXfs>
  <cellStyles count="14">
    <cellStyle name="40% - Accent3" xfId="5" builtinId="39"/>
    <cellStyle name="Comma 2" xfId="9"/>
    <cellStyle name="Currency" xfId="1" builtinId="4"/>
    <cellStyle name="Input" xfId="6" builtinId="20"/>
    <cellStyle name="Normal" xfId="0" builtinId="0"/>
    <cellStyle name="Normal 2" xfId="7"/>
    <cellStyle name="Normal 2 2" xfId="10"/>
    <cellStyle name="Normal 2 3" xfId="11"/>
    <cellStyle name="Normal 3" xfId="12"/>
    <cellStyle name="Note" xfId="4" builtinId="10"/>
    <cellStyle name="Output" xfId="3" builtinId="21"/>
    <cellStyle name="Percent" xfId="2" builtinId="5"/>
    <cellStyle name="Percent 2" xfId="8"/>
    <cellStyle name="Title" xfId="13" builtinId="1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Hazard Rate Term Structure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Hazard rates</c:v>
          </c:tx>
          <c:invertIfNegative val="0"/>
          <c:cat>
            <c:strRef>
              <c:f>'part 2 &amp; 3'!$Q$13:$Q$17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</c:strCache>
            </c:strRef>
          </c:cat>
          <c:val>
            <c:numRef>
              <c:f>'part 2 &amp; 3'!$E$13:$E$17</c:f>
              <c:numCache>
                <c:formatCode>0.00000%</c:formatCode>
                <c:ptCount val="5"/>
                <c:pt idx="0">
                  <c:v>2.3351876807321155E-2</c:v>
                </c:pt>
                <c:pt idx="1">
                  <c:v>3.1159867205885011E-2</c:v>
                </c:pt>
                <c:pt idx="2">
                  <c:v>3.8925846217581307E-2</c:v>
                </c:pt>
                <c:pt idx="3">
                  <c:v>4.3909113837802133E-2</c:v>
                </c:pt>
                <c:pt idx="4">
                  <c:v>4.3781658895486353E-2</c:v>
                </c:pt>
              </c:numCache>
            </c:numRef>
          </c:val>
        </c:ser>
        <c:ser>
          <c:idx val="1"/>
          <c:order val="1"/>
          <c:tx>
            <c:v>Period PD</c:v>
          </c:tx>
          <c:invertIfNegative val="0"/>
          <c:cat>
            <c:strRef>
              <c:f>'part 2 &amp; 3'!$Q$13:$Q$17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</c:strCache>
            </c:strRef>
          </c:cat>
          <c:val>
            <c:numRef>
              <c:f>'part 2 &amp; 3'!$F$13:$F$17</c:f>
              <c:numCache>
                <c:formatCode>0.00000%</c:formatCode>
                <c:ptCount val="5"/>
                <c:pt idx="0">
                  <c:v>2.308133173552851E-2</c:v>
                </c:pt>
                <c:pt idx="1">
                  <c:v>2.9971280434577308E-2</c:v>
                </c:pt>
                <c:pt idx="2">
                  <c:v>3.6152529680524625E-2</c:v>
                </c:pt>
                <c:pt idx="3">
                  <c:v>3.912689524137658E-2</c:v>
                </c:pt>
                <c:pt idx="4">
                  <c:v>3.7339707933952804E-2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-10"/>
        <c:axId val="84379520"/>
        <c:axId val="181493760"/>
      </c:barChart>
      <c:catAx>
        <c:axId val="843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Period</a:t>
                </a:r>
                <a:r>
                  <a:rPr lang="en-GB" baseline="0"/>
                  <a:t> </a:t>
                </a:r>
              </a:p>
              <a:p>
                <a:pPr>
                  <a:defRPr/>
                </a:pPr>
                <a:r>
                  <a:rPr lang="en-GB"/>
                  <a:t>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81493760"/>
        <c:crosses val="autoZero"/>
        <c:auto val="1"/>
        <c:lblAlgn val="ctr"/>
        <c:lblOffset val="100"/>
        <c:noMultiLvlLbl val="0"/>
      </c:catAx>
      <c:valAx>
        <c:axId val="18149376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843795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Cumulative distributions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&amp; 3'!$G$11</c:f>
              <c:strCache>
                <c:ptCount val="1"/>
                <c:pt idx="0">
                  <c:v>PD_cum</c:v>
                </c:pt>
              </c:strCache>
            </c:strRef>
          </c:tx>
          <c:xVal>
            <c:numRef>
              <c:f>'part 2 &amp; 3'!$A$12:$A$17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'part 2 &amp; 3'!$G$12:$G$17</c:f>
              <c:numCache>
                <c:formatCode>0.0000%</c:formatCode>
                <c:ptCount val="6"/>
                <c:pt idx="0">
                  <c:v>0</c:v>
                </c:pt>
                <c:pt idx="1">
                  <c:v>2.308133173552851E-2</c:v>
                </c:pt>
                <c:pt idx="2">
                  <c:v>5.3052612170105817E-2</c:v>
                </c:pt>
                <c:pt idx="3">
                  <c:v>8.9205141850630443E-2</c:v>
                </c:pt>
                <c:pt idx="4">
                  <c:v>0.12833203709200702</c:v>
                </c:pt>
                <c:pt idx="5">
                  <c:v>0.16567174502595983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'part 2 &amp; 3'!$H$11</c:f>
              <c:strCache>
                <c:ptCount val="1"/>
                <c:pt idx="0">
                  <c:v>P_cum</c:v>
                </c:pt>
              </c:strCache>
            </c:strRef>
          </c:tx>
          <c:xVal>
            <c:numRef>
              <c:f>'part 2 &amp; 3'!$A$12:$A$17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'part 2 &amp; 3'!$H$12:$H$17</c:f>
              <c:numCache>
                <c:formatCode>0.0000%</c:formatCode>
                <c:ptCount val="6"/>
                <c:pt idx="0">
                  <c:v>1</c:v>
                </c:pt>
                <c:pt idx="1">
                  <c:v>0.97691866826447149</c:v>
                </c:pt>
                <c:pt idx="2">
                  <c:v>0.94694738782989418</c:v>
                </c:pt>
                <c:pt idx="3">
                  <c:v>0.91079485814936956</c:v>
                </c:pt>
                <c:pt idx="4">
                  <c:v>0.87166796290799298</c:v>
                </c:pt>
                <c:pt idx="5">
                  <c:v>0.83432825497404017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9120"/>
        <c:axId val="203037696"/>
      </c:scatterChart>
      <c:valAx>
        <c:axId val="203029120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3037696"/>
        <c:crosses val="autoZero"/>
        <c:crossBetween val="midCat"/>
      </c:valAx>
      <c:valAx>
        <c:axId val="2030376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3029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14350186640885"/>
          <c:y val="0.14332729509678346"/>
          <c:w val="0.12918374051061229"/>
          <c:h val="0.1856432179654382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  <a:endParaRPr lang="en-GB" baseline="0"/>
          </a:p>
          <a:p>
            <a:pPr>
              <a:defRPr/>
            </a:pPr>
            <a:r>
              <a:rPr lang="en-GB" baseline="0"/>
              <a:t>f(t) = </a:t>
            </a:r>
            <a:r>
              <a:rPr lang="en-GB" baseline="0">
                <a:sym typeface="Symbol"/>
              </a:rPr>
              <a:t>exp(-t)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'part 2 &amp; 3'!$U$13:$U$63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'part 2 &amp; 3'!$V$13:$V$63</c:f>
              <c:numCache>
                <c:formatCode>General</c:formatCode>
                <c:ptCount val="51"/>
                <c:pt idx="0">
                  <c:v>2.3351876807321155E-2</c:v>
                </c:pt>
                <c:pt idx="1">
                  <c:v>2.3297409412824391E-2</c:v>
                </c:pt>
                <c:pt idx="2">
                  <c:v>2.324306906152367E-2</c:v>
                </c:pt>
                <c:pt idx="3">
                  <c:v>2.3188855457095411E-2</c:v>
                </c:pt>
                <c:pt idx="4">
                  <c:v>2.3134768303907191E-2</c:v>
                </c:pt>
                <c:pt idx="5">
                  <c:v>2.3080807307016133E-2</c:v>
                </c:pt>
                <c:pt idx="6">
                  <c:v>2.3026972172167318E-2</c:v>
                </c:pt>
                <c:pt idx="7">
                  <c:v>2.2973262605792154E-2</c:v>
                </c:pt>
                <c:pt idx="8">
                  <c:v>2.2919678315006794E-2</c:v>
                </c:pt>
                <c:pt idx="9">
                  <c:v>2.2866219007610523E-2</c:v>
                </c:pt>
                <c:pt idx="10">
                  <c:v>2.281288439208418E-2</c:v>
                </c:pt>
                <c:pt idx="11">
                  <c:v>3.0109932640633542E-2</c:v>
                </c:pt>
                <c:pt idx="12">
                  <c:v>3.0016256512947162E-2</c:v>
                </c:pt>
                <c:pt idx="13">
                  <c:v>2.9922871824534431E-2</c:v>
                </c:pt>
                <c:pt idx="14">
                  <c:v>2.9829777668687812E-2</c:v>
                </c:pt>
                <c:pt idx="15">
                  <c:v>2.9736973141520674E-2</c:v>
                </c:pt>
                <c:pt idx="16">
                  <c:v>2.9644457341958495E-2</c:v>
                </c:pt>
                <c:pt idx="17">
                  <c:v>2.9552229371730118E-2</c:v>
                </c:pt>
                <c:pt idx="18">
                  <c:v>2.9460288335359037E-2</c:v>
                </c:pt>
                <c:pt idx="19">
                  <c:v>2.9368633340154684E-2</c:v>
                </c:pt>
                <c:pt idx="20">
                  <c:v>2.9277263496203784E-2</c:v>
                </c:pt>
                <c:pt idx="21">
                  <c:v>3.5870462316216559E-2</c:v>
                </c:pt>
                <c:pt idx="22">
                  <c:v>3.5731104912436938E-2</c:v>
                </c:pt>
                <c:pt idx="23">
                  <c:v>3.5592288914726107E-2</c:v>
                </c:pt>
                <c:pt idx="24">
                  <c:v>3.5454012219711555E-2</c:v>
                </c:pt>
                <c:pt idx="25">
                  <c:v>3.5316272732192434E-2</c:v>
                </c:pt>
                <c:pt idx="26">
                  <c:v>3.5179068365107757E-2</c:v>
                </c:pt>
                <c:pt idx="27">
                  <c:v>3.5042397039504826E-2</c:v>
                </c:pt>
                <c:pt idx="28">
                  <c:v>3.4906256684507725E-2</c:v>
                </c:pt>
                <c:pt idx="29">
                  <c:v>3.4770645237285902E-2</c:v>
                </c:pt>
                <c:pt idx="30">
                  <c:v>3.4635560643022957E-2</c:v>
                </c:pt>
                <c:pt idx="31">
                  <c:v>3.8321214649830349E-2</c:v>
                </c:pt>
                <c:pt idx="32">
                  <c:v>3.8153318470561096E-2</c:v>
                </c:pt>
                <c:pt idx="33">
                  <c:v>3.7986157892375229E-2</c:v>
                </c:pt>
                <c:pt idx="34">
                  <c:v>3.7819729692394444E-2</c:v>
                </c:pt>
                <c:pt idx="35">
                  <c:v>3.7654030661860786E-2</c:v>
                </c:pt>
                <c:pt idx="36">
                  <c:v>3.7489057606074787E-2</c:v>
                </c:pt>
                <c:pt idx="37">
                  <c:v>3.7324807344333855E-2</c:v>
                </c:pt>
                <c:pt idx="38">
                  <c:v>3.7161276709870981E-2</c:v>
                </c:pt>
                <c:pt idx="39">
                  <c:v>3.6998462549793658E-2</c:v>
                </c:pt>
                <c:pt idx="40">
                  <c:v>3.6836361725023109E-2</c:v>
                </c:pt>
                <c:pt idx="41">
                  <c:v>3.6587629136381181E-2</c:v>
                </c:pt>
                <c:pt idx="42">
                  <c:v>3.6427792577318881E-2</c:v>
                </c:pt>
                <c:pt idx="43">
                  <c:v>3.6268654279560088E-2</c:v>
                </c:pt>
                <c:pt idx="44">
                  <c:v>3.611021119268347E-2</c:v>
                </c:pt>
                <c:pt idx="45">
                  <c:v>3.595246027959377E-2</c:v>
                </c:pt>
                <c:pt idx="46">
                  <c:v>3.5795398516463559E-2</c:v>
                </c:pt>
                <c:pt idx="47">
                  <c:v>3.5639022892675294E-2</c:v>
                </c:pt>
                <c:pt idx="48">
                  <c:v>3.5483330410763604E-2</c:v>
                </c:pt>
                <c:pt idx="49">
                  <c:v>3.5328318086357821E-2</c:v>
                </c:pt>
                <c:pt idx="50">
                  <c:v>3.51739829481248E-2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59456"/>
        <c:axId val="203861376"/>
      </c:lineChart>
      <c:catAx>
        <c:axId val="2038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861376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20386137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85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183694</xdr:colOff>
      <xdr:row>19</xdr:row>
      <xdr:rowOff>49494</xdr:rowOff>
    </xdr:from>
    <xdr:to>
      <xdr:col>6</xdr:col>
      <xdr:colOff>784112</xdr:colOff>
      <xdr:row>45</xdr:row>
      <xdr:rowOff>151378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998421</xdr:colOff>
      <xdr:row>19</xdr:row>
      <xdr:rowOff>120932</xdr:rowOff>
    </xdr:from>
    <xdr:to>
      <xdr:col>12</xdr:col>
      <xdr:colOff>1035843</xdr:colOff>
      <xdr:row>45</xdr:row>
      <xdr:rowOff>83343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19</xdr:row>
      <xdr:rowOff>130968</xdr:rowOff>
    </xdr:from>
    <xdr:to>
      <xdr:col>19</xdr:col>
      <xdr:colOff>83344</xdr:colOff>
      <xdr:row>45</xdr:row>
      <xdr:rowOff>59531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tabSelected="1" zoomScale="90" zoomScaleNormal="90" workbookViewId="0"/>
  </sheetViews>
  <sheetFormatPr defaultRowHeight="15" x14ac:dyDescent="0.25"/>
  <cols>
    <col min="1" max="1" width="13.85546875" customWidth="1"/>
    <col min="2" max="2" width="18" customWidth="1"/>
    <col min="3" max="3" width="12.7109375" bestFit="1" customWidth="1"/>
    <col min="6" max="6" width="9.140625" customWidth="1"/>
    <col min="7" max="7" width="13.28515625" customWidth="1"/>
    <col min="8" max="8" width="12.140625" customWidth="1"/>
    <col min="9" max="9" width="12.7109375" customWidth="1"/>
    <col min="10" max="10" width="15.28515625" style="12" bestFit="1" customWidth="1"/>
    <col min="11" max="12" width="16.28515625" style="12" bestFit="1" customWidth="1"/>
    <col min="13" max="13" width="12.85546875" style="12" bestFit="1" customWidth="1"/>
    <col min="14" max="14" width="13" bestFit="1" customWidth="1"/>
  </cols>
  <sheetData>
    <row r="1" spans="1:14" ht="22.5" x14ac:dyDescent="0.3">
      <c r="A1" s="64" t="s">
        <v>52</v>
      </c>
      <c r="F1" s="12"/>
      <c r="G1" s="12"/>
      <c r="H1" s="12"/>
      <c r="I1" s="12"/>
    </row>
    <row r="2" spans="1:14" x14ac:dyDescent="0.25">
      <c r="A2" s="1"/>
      <c r="F2" s="12"/>
      <c r="G2" s="12"/>
      <c r="H2" s="12"/>
      <c r="I2" s="12"/>
    </row>
    <row r="3" spans="1:14" x14ac:dyDescent="0.25">
      <c r="A3" s="1"/>
      <c r="F3" s="12"/>
      <c r="G3" s="12"/>
      <c r="H3" s="12"/>
      <c r="I3" s="12"/>
    </row>
    <row r="4" spans="1:14" x14ac:dyDescent="0.25">
      <c r="A4" s="2" t="s">
        <v>57</v>
      </c>
      <c r="B4" s="3">
        <v>0.25</v>
      </c>
      <c r="C4" t="s">
        <v>0</v>
      </c>
      <c r="F4" s="12"/>
      <c r="G4" s="12"/>
      <c r="H4" s="12"/>
      <c r="I4" s="12"/>
    </row>
    <row r="5" spans="1:14" x14ac:dyDescent="0.25">
      <c r="A5" s="2" t="s">
        <v>6</v>
      </c>
      <c r="B5" s="3">
        <v>1</v>
      </c>
      <c r="C5" t="s">
        <v>7</v>
      </c>
      <c r="E5" s="15" t="s">
        <v>1</v>
      </c>
      <c r="F5" s="16" t="s">
        <v>2</v>
      </c>
      <c r="G5" s="17" t="s">
        <v>11</v>
      </c>
      <c r="H5" s="16" t="s">
        <v>3</v>
      </c>
      <c r="I5" s="15" t="s">
        <v>4</v>
      </c>
      <c r="J5" s="15" t="s">
        <v>13</v>
      </c>
      <c r="K5" s="15" t="s">
        <v>14</v>
      </c>
      <c r="L5" s="15" t="s">
        <v>16</v>
      </c>
      <c r="M5" s="15" t="s">
        <v>15</v>
      </c>
    </row>
    <row r="6" spans="1:14" x14ac:dyDescent="0.25">
      <c r="A6" s="2" t="s">
        <v>8</v>
      </c>
      <c r="B6" s="4">
        <v>0.4</v>
      </c>
      <c r="C6" t="s">
        <v>9</v>
      </c>
      <c r="E6" s="41">
        <v>0</v>
      </c>
      <c r="F6" s="42">
        <v>1</v>
      </c>
      <c r="G6" s="43">
        <v>0</v>
      </c>
      <c r="H6" s="66">
        <f>EXP(-$B$4*SUM($G$6:G6))</f>
        <v>1</v>
      </c>
      <c r="I6" s="66"/>
      <c r="J6" s="44"/>
      <c r="K6" s="44"/>
      <c r="L6" s="44"/>
      <c r="M6" s="44"/>
      <c r="N6" s="65"/>
    </row>
    <row r="7" spans="1:14" x14ac:dyDescent="0.25">
      <c r="E7" s="41">
        <v>0.25</v>
      </c>
      <c r="F7" s="45">
        <f>EXP((E7-$E$6)/($E$10-$E$6)*LN($F$10) + ($E$10-E7)/($E$10-$E$6)*LN($F$6))</f>
        <v>0.99241411728149576</v>
      </c>
      <c r="G7" s="46">
        <f>(E7-$E$6)/($E$10-$E$6)*$G$10 + ($E$10-E7)/($E$10-$E$6)*$G$6</f>
        <v>2.4875000000000001E-3</v>
      </c>
      <c r="H7" s="66">
        <f>EXP(-$B$4*SUM($G$6:G7))</f>
        <v>0.99937831832418123</v>
      </c>
      <c r="I7" s="66">
        <f>H6-H7</f>
        <v>6.2168167581877487E-4</v>
      </c>
      <c r="J7" s="47">
        <f>F7*H7*$B$4</f>
        <v>0.24794928790248949</v>
      </c>
      <c r="K7" s="48">
        <f>F7*(H6-H7)*$B$4/2</f>
        <v>7.7120708942221314E-5</v>
      </c>
      <c r="L7" s="48">
        <f>$B$9*(J7+K7)</f>
        <v>2.2852355265734281E-3</v>
      </c>
      <c r="M7" s="49">
        <f t="shared" ref="M7:M18" si="0">$B$5*(1-$B$6)*F7*I7</f>
        <v>3.701794029226623E-4</v>
      </c>
      <c r="N7" s="72"/>
    </row>
    <row r="8" spans="1:14" x14ac:dyDescent="0.25">
      <c r="A8" s="6" t="s">
        <v>10</v>
      </c>
      <c r="B8" s="68">
        <f>M20-L20</f>
        <v>0</v>
      </c>
      <c r="E8" s="41">
        <v>0.5</v>
      </c>
      <c r="F8" s="45">
        <f t="shared" ref="F8:F9" si="1">EXP((E8-$E$6)/($E$10-$E$6)*LN($F$10) + ($E$10-E8)/($E$10-$E$6)*LN($F$6))</f>
        <v>0.98488578017961048</v>
      </c>
      <c r="G8" s="46">
        <f t="shared" ref="G8:G9" si="2">(E8-$E$6)/($E$10-$E$6)*$G$10 + ($E$10-E8)/($E$10-$E$6)*$G$6</f>
        <v>4.9750000000000003E-3</v>
      </c>
      <c r="H8" s="66">
        <f>EXP(-$B$4*SUM($G$6:G8))</f>
        <v>0.99813611419658932</v>
      </c>
      <c r="I8" s="66">
        <f t="shared" ref="I8:I18" si="3">H7-H8</f>
        <v>1.242204127591906E-3</v>
      </c>
      <c r="J8" s="47">
        <f t="shared" ref="J8:J18" si="4">F8*H8*$B$4</f>
        <v>0.24576251638898816</v>
      </c>
      <c r="K8" s="47">
        <f>F8*(H7-H8)*$B$4/2</f>
        <v>1.5292864766821085E-4</v>
      </c>
      <c r="L8" s="47">
        <f t="shared" ref="L8:L18" si="5">$B$9*(J8+K8)</f>
        <v>2.2657857873969174E-3</v>
      </c>
      <c r="M8" s="49">
        <f t="shared" si="0"/>
        <v>7.3405750880741209E-4</v>
      </c>
      <c r="N8" s="72"/>
    </row>
    <row r="9" spans="1:14" x14ac:dyDescent="0.25">
      <c r="A9" s="6" t="s">
        <v>56</v>
      </c>
      <c r="B9" s="68">
        <v>9.2136782505026354E-3</v>
      </c>
      <c r="E9" s="41">
        <v>0.75</v>
      </c>
      <c r="F9" s="45">
        <f t="shared" si="1"/>
        <v>0.97741455216004536</v>
      </c>
      <c r="G9" s="46">
        <f t="shared" si="2"/>
        <v>7.4625000000000004E-3</v>
      </c>
      <c r="H9" s="66">
        <f>EXP(-$B$4*SUM($G$6:G9))</f>
        <v>0.99627570246346675</v>
      </c>
      <c r="I9" s="66">
        <f t="shared" si="3"/>
        <v>1.8604117331225689E-3</v>
      </c>
      <c r="J9" s="47">
        <f t="shared" si="4"/>
        <v>0.24344359238781599</v>
      </c>
      <c r="K9" s="47">
        <f t="shared" ref="K9:K18" si="6">F9*(H8-H9)*$B$4/2</f>
        <v>2.2729918762041118E-4</v>
      </c>
      <c r="L9" s="47">
        <f t="shared" si="5"/>
        <v>2.2451051939891844E-3</v>
      </c>
      <c r="M9" s="49">
        <f t="shared" si="0"/>
        <v>1.0910361005779736E-3</v>
      </c>
      <c r="N9" s="72"/>
    </row>
    <row r="10" spans="1:14" x14ac:dyDescent="0.25">
      <c r="B10" s="69">
        <f>B9*10000</f>
        <v>92.13678250502636</v>
      </c>
      <c r="C10" t="s">
        <v>12</v>
      </c>
      <c r="E10" s="50">
        <v>1</v>
      </c>
      <c r="F10" s="51">
        <v>0.97</v>
      </c>
      <c r="G10" s="52">
        <v>9.9500000000000005E-3</v>
      </c>
      <c r="H10" s="67">
        <f>EXP(-$B$4*SUM($G$6:G10))</f>
        <v>0.99380054640522075</v>
      </c>
      <c r="I10" s="67">
        <f t="shared" si="3"/>
        <v>2.4751560582459975E-3</v>
      </c>
      <c r="J10" s="53">
        <f t="shared" si="4"/>
        <v>0.24099663250326603</v>
      </c>
      <c r="K10" s="53">
        <f t="shared" si="6"/>
        <v>3.0011267206232718E-4</v>
      </c>
      <c r="L10" s="53">
        <f t="shared" si="5"/>
        <v>2.2232305729389993E-3</v>
      </c>
      <c r="M10" s="54">
        <f t="shared" si="0"/>
        <v>1.4405408258991704E-3</v>
      </c>
      <c r="N10" s="72"/>
    </row>
    <row r="11" spans="1:14" x14ac:dyDescent="0.25">
      <c r="E11" s="41">
        <v>1.25</v>
      </c>
      <c r="F11" s="45">
        <f>EXP((E11-$E$10)/($E$14-$E$10)*LN($F$14) + ($E$14-E11)/($E$14-$E$10)*LN($F$10))</f>
        <v>0.96241141199379898</v>
      </c>
      <c r="G11" s="46">
        <f>(E11-$E$10)/($E$14-$E$10)*$G$14 + ($E$14-E11)/($E$14-$E$10)*$G$10</f>
        <v>1.268E-2</v>
      </c>
      <c r="H11" s="66">
        <f>EXP(-$B$4*SUM($G$6:G11))</f>
        <v>0.99065518670219554</v>
      </c>
      <c r="I11" s="66">
        <f t="shared" si="3"/>
        <v>3.1453597030252078E-3</v>
      </c>
      <c r="J11" s="47">
        <f t="shared" si="4"/>
        <v>0.23835446425826015</v>
      </c>
      <c r="K11" s="47">
        <f t="shared" si="6"/>
        <v>3.7839125912711083E-4</v>
      </c>
      <c r="L11" s="47">
        <f t="shared" si="5"/>
        <v>2.1996077185609392E-3</v>
      </c>
      <c r="M11" s="49">
        <f t="shared" si="0"/>
        <v>1.8162780438101319E-3</v>
      </c>
      <c r="N11" s="72"/>
    </row>
    <row r="12" spans="1:14" x14ac:dyDescent="0.25">
      <c r="E12" s="41">
        <v>1.5</v>
      </c>
      <c r="F12" s="45">
        <f t="shared" ref="F12:F13" si="7">EXP((E12-$E$10)/($E$14-$E$10)*LN($F$14) + ($E$14-E12)/($E$14-$E$10)*LN($F$10))</f>
        <v>0.9548821916864928</v>
      </c>
      <c r="G12" s="46">
        <f t="shared" ref="G12:G13" si="8">(E12-$E$10)/($E$14-$E$10)*$G$14 + ($E$14-E12)/($E$14-$E$10)*$G$10</f>
        <v>1.541E-2</v>
      </c>
      <c r="H12" s="66">
        <f>EXP(-$B$4*SUM($G$6:G12))</f>
        <v>0.98684602969532365</v>
      </c>
      <c r="I12" s="66">
        <f t="shared" si="3"/>
        <v>3.8091570068718994E-3</v>
      </c>
      <c r="J12" s="47">
        <f t="shared" si="4"/>
        <v>0.2355804249231461</v>
      </c>
      <c r="K12" s="47">
        <f t="shared" si="6"/>
        <v>4.5466202389997504E-4</v>
      </c>
      <c r="L12" s="47">
        <f t="shared" si="5"/>
        <v>2.1747513469594971E-3</v>
      </c>
      <c r="M12" s="49">
        <f t="shared" si="0"/>
        <v>2.1823777147198802E-3</v>
      </c>
      <c r="N12" s="72"/>
    </row>
    <row r="13" spans="1:14" x14ac:dyDescent="0.25">
      <c r="E13" s="41">
        <v>1.75</v>
      </c>
      <c r="F13" s="45">
        <f t="shared" si="7"/>
        <v>0.94741187462755772</v>
      </c>
      <c r="G13" s="46">
        <f t="shared" si="8"/>
        <v>1.814E-2</v>
      </c>
      <c r="H13" s="66">
        <f>EXP(-$B$4*SUM($G$6:G13))</f>
        <v>0.98238081547661027</v>
      </c>
      <c r="I13" s="66">
        <f t="shared" si="3"/>
        <v>4.4652142187133759E-3</v>
      </c>
      <c r="J13" s="47">
        <f t="shared" si="4"/>
        <v>0.23267981249721104</v>
      </c>
      <c r="K13" s="47">
        <f t="shared" si="6"/>
        <v>5.2879962169560812E-4</v>
      </c>
      <c r="L13" s="47">
        <f t="shared" si="5"/>
        <v>2.1487091173098753E-3</v>
      </c>
      <c r="M13" s="49">
        <f t="shared" si="0"/>
        <v>2.5382381841389189E-3</v>
      </c>
      <c r="N13" s="72"/>
    </row>
    <row r="14" spans="1:14" x14ac:dyDescent="0.25">
      <c r="C14" s="9"/>
      <c r="E14" s="50">
        <v>2</v>
      </c>
      <c r="F14" s="51">
        <v>0.94</v>
      </c>
      <c r="G14" s="52">
        <v>2.087E-2</v>
      </c>
      <c r="H14" s="67">
        <f>EXP(-$B$4*SUM($G$6:G14))</f>
        <v>0.97726859168288782</v>
      </c>
      <c r="I14" s="67">
        <f t="shared" si="3"/>
        <v>5.112223793722448E-3</v>
      </c>
      <c r="J14" s="53">
        <f t="shared" si="4"/>
        <v>0.22965811904547861</v>
      </c>
      <c r="K14" s="53">
        <f t="shared" si="6"/>
        <v>6.0068629576238758E-4</v>
      </c>
      <c r="L14" s="53">
        <f t="shared" si="5"/>
        <v>2.1215305467593122E-3</v>
      </c>
      <c r="M14" s="54">
        <f t="shared" si="0"/>
        <v>2.8832942196594605E-3</v>
      </c>
      <c r="N14" s="72"/>
    </row>
    <row r="15" spans="1:14" x14ac:dyDescent="0.25">
      <c r="C15" s="9"/>
      <c r="E15" s="41">
        <v>2.25</v>
      </c>
      <c r="F15" s="45">
        <f>EXP((E15-$E$14)/($E$18-$E$14)*LN($F$18) + ($E$18-E15)/($E$18-$E$14)*LN($F$14))</f>
        <v>0.93495960388923371</v>
      </c>
      <c r="G15" s="46">
        <f>(E15-$E$14)/($E$18-$E$14)*$G$18 + ($E$18-E15)/($E$18-$E$14)*$G$14</f>
        <v>2.2100000000000002E-2</v>
      </c>
      <c r="H15" s="66">
        <f>EXP(-$B$4*SUM($G$6:G15))</f>
        <v>0.97188407114896247</v>
      </c>
      <c r="I15" s="66">
        <f t="shared" si="3"/>
        <v>5.3845205339253521E-3</v>
      </c>
      <c r="J15" s="47">
        <f t="shared" si="4"/>
        <v>0.22716808654692244</v>
      </c>
      <c r="K15" s="47">
        <f t="shared" si="6"/>
        <v>6.2928864819153656E-4</v>
      </c>
      <c r="L15" s="47">
        <f t="shared" si="5"/>
        <v>2.0988517213568103E-3</v>
      </c>
      <c r="M15" s="49">
        <f t="shared" si="0"/>
        <v>3.0205855113193754E-3</v>
      </c>
      <c r="N15" s="72"/>
    </row>
    <row r="16" spans="1:14" x14ac:dyDescent="0.25">
      <c r="C16" s="9"/>
      <c r="E16" s="41">
        <v>2.5</v>
      </c>
      <c r="F16" s="45">
        <f t="shared" ref="F16:F17" si="9">EXP((E16-$E$14)/($E$18-$E$14)*LN($F$18) + ($E$18-E16)/($E$18-$E$14)*LN($F$14))</f>
        <v>0.92994623500501361</v>
      </c>
      <c r="G16" s="46">
        <f t="shared" ref="G16:G17" si="10">(E16-$E$14)/($E$18-$E$14)*$G$18 + ($E$18-E16)/($E$18-$E$14)*$G$14</f>
        <v>2.333E-2</v>
      </c>
      <c r="H16" s="66">
        <f>EXP(-$B$4*SUM($G$6:G16))</f>
        <v>0.96623205601565698</v>
      </c>
      <c r="I16" s="66">
        <f t="shared" si="3"/>
        <v>5.652015133305488E-3</v>
      </c>
      <c r="J16" s="47">
        <f t="shared" si="4"/>
        <v>0.22463596565822841</v>
      </c>
      <c r="K16" s="47">
        <f t="shared" si="6"/>
        <v>6.570087741760998E-4</v>
      </c>
      <c r="L16" s="47">
        <f t="shared" si="5"/>
        <v>2.0757769785188919E-3</v>
      </c>
      <c r="M16" s="49">
        <f t="shared" si="0"/>
        <v>3.1536421160452792E-3</v>
      </c>
      <c r="N16" s="72"/>
    </row>
    <row r="17" spans="1:14" x14ac:dyDescent="0.25">
      <c r="C17" s="9"/>
      <c r="D17" s="9"/>
      <c r="E17" s="41">
        <v>2.75</v>
      </c>
      <c r="F17" s="45">
        <f t="shared" si="9"/>
        <v>0.92495974842401252</v>
      </c>
      <c r="G17" s="46">
        <f t="shared" si="10"/>
        <v>2.4559999999999998E-2</v>
      </c>
      <c r="H17" s="66">
        <f>EXP(-$B$4*SUM($G$6:G17))</f>
        <v>0.96031756725336437</v>
      </c>
      <c r="I17" s="66">
        <f t="shared" si="3"/>
        <v>5.9144887622926134E-3</v>
      </c>
      <c r="J17" s="47">
        <f t="shared" si="4"/>
        <v>0.22206377385345791</v>
      </c>
      <c r="K17" s="47">
        <f t="shared" si="6"/>
        <v>6.8383300470335306E-4</v>
      </c>
      <c r="L17" s="47">
        <f t="shared" si="5"/>
        <v>2.0523247806605522E-3</v>
      </c>
      <c r="M17" s="49">
        <f t="shared" si="0"/>
        <v>3.2823984225760945E-3</v>
      </c>
      <c r="N17" s="72"/>
    </row>
    <row r="18" spans="1:14" x14ac:dyDescent="0.25">
      <c r="C18" s="9"/>
      <c r="D18" s="9"/>
      <c r="E18" s="50">
        <v>3</v>
      </c>
      <c r="F18" s="51">
        <v>0.92</v>
      </c>
      <c r="G18" s="52">
        <v>2.579E-2</v>
      </c>
      <c r="H18" s="67">
        <f>EXP(-$B$4*SUM($G$6:G18))</f>
        <v>0.95414583723316937</v>
      </c>
      <c r="I18" s="67">
        <f t="shared" si="3"/>
        <v>6.1717300201949987E-3</v>
      </c>
      <c r="J18" s="53">
        <f t="shared" si="4"/>
        <v>0.21945354256362898</v>
      </c>
      <c r="K18" s="53">
        <f t="shared" si="6"/>
        <v>7.0974895232242487E-4</v>
      </c>
      <c r="L18" s="53">
        <f t="shared" si="5"/>
        <v>2.028513730599593E-3</v>
      </c>
      <c r="M18" s="54">
        <f t="shared" si="0"/>
        <v>3.4067949711476396E-3</v>
      </c>
      <c r="N18" s="72"/>
    </row>
    <row r="19" spans="1:14" x14ac:dyDescent="0.25">
      <c r="C19" s="9"/>
      <c r="D19" s="9"/>
      <c r="E19" s="55"/>
      <c r="F19" s="55"/>
      <c r="G19" s="56"/>
      <c r="H19" s="57"/>
      <c r="I19" s="58"/>
      <c r="J19" s="59"/>
      <c r="K19" s="59"/>
      <c r="L19" s="59"/>
      <c r="M19" s="59"/>
    </row>
    <row r="20" spans="1:14" x14ac:dyDescent="0.25">
      <c r="A20" s="9"/>
      <c r="B20" s="9"/>
      <c r="C20" s="9"/>
      <c r="D20" s="9"/>
      <c r="E20" s="55"/>
      <c r="F20" s="55"/>
      <c r="G20" s="56"/>
      <c r="H20" s="57"/>
      <c r="I20" s="58"/>
      <c r="J20" s="60"/>
      <c r="K20" s="47" t="s">
        <v>5</v>
      </c>
      <c r="L20" s="47">
        <f>SUM(L7:L18)</f>
        <v>2.5919423021624002E-2</v>
      </c>
      <c r="M20" s="49">
        <f>SUM(M7:M18)</f>
        <v>2.5919423021623998E-2</v>
      </c>
    </row>
    <row r="21" spans="1:14" x14ac:dyDescent="0.25">
      <c r="A21" s="9"/>
      <c r="B21" s="10"/>
      <c r="C21" s="9"/>
      <c r="D21" s="9"/>
      <c r="E21" s="7"/>
      <c r="F21" s="7"/>
      <c r="G21" s="8"/>
      <c r="K21" s="13"/>
      <c r="L21" s="13"/>
      <c r="M21" s="13"/>
    </row>
    <row r="22" spans="1:14" x14ac:dyDescent="0.25">
      <c r="A22" s="9"/>
      <c r="B22" s="11"/>
      <c r="C22" s="9"/>
      <c r="D22" s="9"/>
      <c r="E22" s="7"/>
      <c r="F22" s="7"/>
      <c r="G22" s="8"/>
      <c r="I22" s="71"/>
      <c r="J22" s="70"/>
      <c r="K22" s="70"/>
      <c r="L22" s="13"/>
      <c r="M22" s="13"/>
    </row>
    <row r="23" spans="1:14" x14ac:dyDescent="0.25">
      <c r="D23" s="9"/>
      <c r="E23" s="7"/>
      <c r="F23" s="7"/>
      <c r="G23" s="8"/>
      <c r="I23" s="5"/>
      <c r="J23" s="13"/>
      <c r="K23" s="13"/>
      <c r="L23" s="13"/>
      <c r="M23" s="13"/>
    </row>
    <row r="24" spans="1:14" x14ac:dyDescent="0.25">
      <c r="D24" s="9"/>
      <c r="E24" s="7"/>
      <c r="F24" s="7"/>
      <c r="G24" s="8"/>
      <c r="I24" s="5"/>
      <c r="J24" s="13"/>
      <c r="K24" s="13"/>
      <c r="L24" s="13"/>
      <c r="M24" s="13"/>
    </row>
    <row r="25" spans="1:14" x14ac:dyDescent="0.25">
      <c r="D25" s="9"/>
      <c r="E25" s="7"/>
      <c r="F25" s="7"/>
      <c r="G25" s="8"/>
      <c r="I25" s="5"/>
      <c r="J25" s="13"/>
      <c r="K25" s="13"/>
      <c r="L25" s="13"/>
      <c r="M25" s="13"/>
    </row>
    <row r="26" spans="1:14" x14ac:dyDescent="0.25">
      <c r="E26" s="7"/>
      <c r="F26" s="7"/>
      <c r="G26" s="8"/>
      <c r="I26" s="5"/>
      <c r="J26" s="13"/>
      <c r="K26" s="13"/>
      <c r="L26" s="13"/>
      <c r="M26" s="13"/>
    </row>
    <row r="27" spans="1:14" x14ac:dyDescent="0.25">
      <c r="M2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showGridLines="0" zoomScale="70" zoomScaleNormal="70" workbookViewId="0"/>
  </sheetViews>
  <sheetFormatPr defaultColWidth="11.42578125" defaultRowHeight="14.25" x14ac:dyDescent="0.2"/>
  <cols>
    <col min="1" max="1" width="14.28515625" style="18" bestFit="1" customWidth="1"/>
    <col min="2" max="3" width="13.42578125" style="18" customWidth="1"/>
    <col min="4" max="4" width="13.5703125" style="18" bestFit="1" customWidth="1"/>
    <col min="5" max="5" width="17.7109375" style="18" bestFit="1" customWidth="1"/>
    <col min="6" max="6" width="29.7109375" style="18" bestFit="1" customWidth="1"/>
    <col min="7" max="7" width="25.85546875" style="18" bestFit="1" customWidth="1"/>
    <col min="8" max="8" width="27.28515625" style="18" bestFit="1" customWidth="1"/>
    <col min="9" max="9" width="18.7109375" style="18" customWidth="1"/>
    <col min="10" max="10" width="16.42578125" style="18" customWidth="1"/>
    <col min="11" max="11" width="15" style="18" customWidth="1"/>
    <col min="12" max="16" width="16" style="18" customWidth="1"/>
    <col min="17" max="17" width="15.28515625" style="18" bestFit="1" customWidth="1"/>
    <col min="18" max="18" width="14.85546875" style="18" bestFit="1" customWidth="1"/>
    <col min="19" max="19" width="15.7109375" style="18" customWidth="1"/>
    <col min="20" max="21" width="15.28515625" style="18" customWidth="1"/>
    <col min="22" max="25" width="11.42578125" style="18"/>
    <col min="26" max="26" width="20.28515625" style="32" customWidth="1"/>
    <col min="27" max="16384" width="11.42578125" style="18"/>
  </cols>
  <sheetData>
    <row r="1" spans="1:26" ht="22.5" x14ac:dyDescent="0.3">
      <c r="A1" s="64" t="s">
        <v>55</v>
      </c>
    </row>
    <row r="4" spans="1:26" x14ac:dyDescent="0.2">
      <c r="A4" s="18" t="s">
        <v>40</v>
      </c>
    </row>
    <row r="5" spans="1:26" ht="15" x14ac:dyDescent="0.25">
      <c r="A5" s="34" t="s">
        <v>38</v>
      </c>
      <c r="B5" s="35">
        <v>8.0000000000000002E-3</v>
      </c>
    </row>
    <row r="6" spans="1:26" ht="15" x14ac:dyDescent="0.25">
      <c r="A6" s="34" t="s">
        <v>39</v>
      </c>
      <c r="B6" s="35">
        <v>0.4</v>
      </c>
    </row>
    <row r="7" spans="1:26" ht="15" x14ac:dyDescent="0.25">
      <c r="A7" s="34" t="s">
        <v>42</v>
      </c>
      <c r="B7" s="35">
        <f>1-B6</f>
        <v>0.6</v>
      </c>
    </row>
    <row r="9" spans="1:26" ht="15" x14ac:dyDescent="0.25">
      <c r="C9" s="19"/>
      <c r="D9" s="19"/>
      <c r="E9" s="19" t="s">
        <v>48</v>
      </c>
      <c r="F9" s="19" t="s">
        <v>17</v>
      </c>
      <c r="G9" s="19" t="s">
        <v>18</v>
      </c>
      <c r="H9" s="19" t="s">
        <v>19</v>
      </c>
    </row>
    <row r="10" spans="1:26" ht="15" x14ac:dyDescent="0.25">
      <c r="C10" s="19" t="s">
        <v>20</v>
      </c>
      <c r="D10" s="19"/>
      <c r="E10" s="19" t="s">
        <v>21</v>
      </c>
      <c r="F10" s="20" t="s">
        <v>22</v>
      </c>
      <c r="G10" s="19" t="s">
        <v>23</v>
      </c>
      <c r="H10" s="19" t="s">
        <v>24</v>
      </c>
      <c r="I10" s="21"/>
      <c r="J10" s="21"/>
      <c r="K10" s="21"/>
      <c r="L10" s="21"/>
      <c r="M10" s="21"/>
      <c r="N10" s="21"/>
      <c r="O10" s="21"/>
      <c r="P10" s="21"/>
      <c r="U10" s="32"/>
      <c r="Z10" s="18"/>
    </row>
    <row r="11" spans="1:26" ht="15" x14ac:dyDescent="0.25">
      <c r="A11" s="20" t="s">
        <v>25</v>
      </c>
      <c r="B11" s="20" t="s">
        <v>26</v>
      </c>
      <c r="C11" s="20" t="s">
        <v>27</v>
      </c>
      <c r="D11" s="20" t="s">
        <v>2</v>
      </c>
      <c r="E11" s="20" t="s">
        <v>11</v>
      </c>
      <c r="F11" s="20" t="s">
        <v>4</v>
      </c>
      <c r="G11" s="20" t="s">
        <v>28</v>
      </c>
      <c r="H11" s="20" t="s">
        <v>29</v>
      </c>
      <c r="I11" s="21" t="s">
        <v>30</v>
      </c>
      <c r="J11" s="21" t="s">
        <v>31</v>
      </c>
      <c r="K11" s="21" t="s">
        <v>32</v>
      </c>
      <c r="L11" s="21" t="s">
        <v>33</v>
      </c>
      <c r="M11" s="21" t="s">
        <v>34</v>
      </c>
      <c r="N11" s="21" t="s">
        <v>35</v>
      </c>
      <c r="O11" s="21" t="s">
        <v>36</v>
      </c>
      <c r="P11" s="21" t="s">
        <v>37</v>
      </c>
      <c r="Q11" s="18" t="s">
        <v>53</v>
      </c>
      <c r="R11" s="18" t="s">
        <v>54</v>
      </c>
      <c r="S11" s="18" t="s">
        <v>41</v>
      </c>
      <c r="U11" s="62" t="s">
        <v>51</v>
      </c>
      <c r="Z11" s="18"/>
    </row>
    <row r="12" spans="1:26" ht="15" x14ac:dyDescent="0.25">
      <c r="A12" s="22">
        <v>0</v>
      </c>
      <c r="B12" s="23"/>
      <c r="C12" s="24"/>
      <c r="D12" s="25">
        <v>1</v>
      </c>
      <c r="E12" s="36"/>
      <c r="F12" s="36">
        <f>G12</f>
        <v>0</v>
      </c>
      <c r="G12" s="26">
        <f>1-H12</f>
        <v>0</v>
      </c>
      <c r="H12" s="27">
        <v>1</v>
      </c>
      <c r="I12" s="28"/>
      <c r="J12" s="28"/>
      <c r="K12" s="28"/>
      <c r="L12" s="28"/>
      <c r="M12" s="28"/>
      <c r="N12" s="28"/>
      <c r="O12" s="28"/>
      <c r="P12" s="37"/>
      <c r="Q12" s="38"/>
      <c r="R12" s="38"/>
      <c r="S12" s="38"/>
      <c r="U12" s="61" t="s">
        <v>49</v>
      </c>
      <c r="V12" s="61" t="s">
        <v>50</v>
      </c>
      <c r="Z12" s="18"/>
    </row>
    <row r="13" spans="1:26" ht="15" x14ac:dyDescent="0.25">
      <c r="A13" s="29">
        <f>A12+B13</f>
        <v>1</v>
      </c>
      <c r="B13" s="22">
        <v>1</v>
      </c>
      <c r="C13" s="30">
        <v>141.76</v>
      </c>
      <c r="D13" s="5">
        <f>EXP(-$B$5*A13)</f>
        <v>0.99203191483706066</v>
      </c>
      <c r="E13" s="36">
        <f>-LN(H13/H12)/B13</f>
        <v>2.3351876807321155E-2</v>
      </c>
      <c r="F13" s="36">
        <f>H12-H13</f>
        <v>2.308133173552851E-2</v>
      </c>
      <c r="G13" s="26">
        <f t="shared" ref="G13:G17" si="0">1-H13</f>
        <v>2.308133173552851E-2</v>
      </c>
      <c r="H13" s="26">
        <f>$B$7/($B$7+B13*C13/10000)</f>
        <v>0.97691866826447149</v>
      </c>
      <c r="I13" s="28"/>
      <c r="J13" s="28"/>
      <c r="K13" s="28"/>
      <c r="L13" s="28"/>
      <c r="M13" s="28"/>
      <c r="N13" s="28"/>
      <c r="O13" s="28"/>
      <c r="P13" s="37"/>
      <c r="Q13" s="39" t="s">
        <v>43</v>
      </c>
      <c r="R13" s="38">
        <f>EXP(-B13*SUM($E$13:E13))</f>
        <v>0.97691866826447149</v>
      </c>
      <c r="S13" s="38">
        <f>E13*EXP(-E13*A13)</f>
        <v>2.281288439208418E-2</v>
      </c>
      <c r="U13" s="63">
        <v>0</v>
      </c>
      <c r="V13" s="63">
        <f t="shared" ref="V13:V23" si="1">$E$13*EXP(-$E$13*U13)</f>
        <v>2.3351876807321155E-2</v>
      </c>
      <c r="Z13" s="18"/>
    </row>
    <row r="14" spans="1:26" ht="15" x14ac:dyDescent="0.25">
      <c r="A14" s="29">
        <f>A13+B14</f>
        <v>2</v>
      </c>
      <c r="B14" s="29">
        <f>$B$13</f>
        <v>1</v>
      </c>
      <c r="C14" s="30">
        <v>165.36</v>
      </c>
      <c r="D14" s="5">
        <f>EXP(-$B$5*A14)</f>
        <v>0.98412732005528514</v>
      </c>
      <c r="E14" s="36">
        <f t="shared" ref="E14:E17" si="2">-LN(H14/H13)/B14</f>
        <v>3.1159867205885011E-2</v>
      </c>
      <c r="F14" s="36">
        <f t="shared" ref="F14:F17" si="3">H13-H14</f>
        <v>2.9971280434577308E-2</v>
      </c>
      <c r="G14" s="26">
        <f t="shared" si="0"/>
        <v>5.3052612170105817E-2</v>
      </c>
      <c r="H14" s="26">
        <f>O14+P14</f>
        <v>0.94694738782989418</v>
      </c>
      <c r="I14" s="28">
        <f>$D$13*($B$7*$H$12-($B$7+$B$13*C14/10000)*$H$13)</f>
        <v>-2.287157413199604E-3</v>
      </c>
      <c r="J14" s="28"/>
      <c r="K14" s="28"/>
      <c r="L14" s="28"/>
      <c r="M14" s="28">
        <f>SUM(I14:L14)</f>
        <v>-2.287157413199604E-3</v>
      </c>
      <c r="N14" s="28">
        <f>(D14*($B$7+B14*C14/10000))</f>
        <v>0.6067499213976052</v>
      </c>
      <c r="O14" s="28">
        <f>M14/N14</f>
        <v>-3.7695223889461739E-3</v>
      </c>
      <c r="P14" s="37">
        <f>H13*$B$7/($B$7+B14*C14/10000)</f>
        <v>0.95071691021884031</v>
      </c>
      <c r="Q14" s="39" t="s">
        <v>44</v>
      </c>
      <c r="R14" s="38">
        <f>EXP(-B14*SUM($E$13:E14))</f>
        <v>0.94694738782989418</v>
      </c>
      <c r="S14" s="38">
        <f t="shared" ref="S14:S17" si="4">E14*EXP(-E14*A14)</f>
        <v>2.9277263496203784E-2</v>
      </c>
      <c r="U14" s="63">
        <f t="shared" ref="U14:U45" si="5">U13+0.1</f>
        <v>0.1</v>
      </c>
      <c r="V14" s="63">
        <f t="shared" si="1"/>
        <v>2.3297409412824391E-2</v>
      </c>
      <c r="Z14" s="18"/>
    </row>
    <row r="15" spans="1:26" s="31" customFormat="1" ht="15" x14ac:dyDescent="0.25">
      <c r="A15" s="29">
        <f>A14+B15</f>
        <v>3</v>
      </c>
      <c r="B15" s="29">
        <f>$B$13</f>
        <v>1</v>
      </c>
      <c r="C15" s="30">
        <v>188.56</v>
      </c>
      <c r="D15" s="5">
        <f>EXP(-$B$5*A15)</f>
        <v>0.97628570975790929</v>
      </c>
      <c r="E15" s="36">
        <f t="shared" si="2"/>
        <v>3.8925846217581307E-2</v>
      </c>
      <c r="F15" s="36">
        <f t="shared" si="3"/>
        <v>3.6152529680524625E-2</v>
      </c>
      <c r="G15" s="26">
        <f t="shared" si="0"/>
        <v>8.9205141850630443E-2</v>
      </c>
      <c r="H15" s="26">
        <f t="shared" ref="H15:H17" si="6">O15+P15</f>
        <v>0.91079485814936956</v>
      </c>
      <c r="I15" s="28">
        <f t="shared" ref="I15:I17" si="7">$D$13*($B$7*$H$12-($B$7+$B$13*C15/10000)*$H$13)</f>
        <v>-4.5355494465145101E-3</v>
      </c>
      <c r="J15" s="28">
        <f>($D$14*($B$7*$H$13-($B$7+$B$14*C15/10000)*$H$14))</f>
        <v>1.2511044875693688E-4</v>
      </c>
      <c r="K15" s="28"/>
      <c r="L15" s="28"/>
      <c r="M15" s="28">
        <f>SUM(I15:L15)</f>
        <v>-4.4104389977575736E-3</v>
      </c>
      <c r="N15" s="28">
        <f t="shared" ref="N15:N17" si="8">(D15*($B$7+B15*C15/10000))</f>
        <v>0.60418026919794066</v>
      </c>
      <c r="O15" s="28">
        <f t="shared" ref="O15:O17" si="9">M15/N15</f>
        <v>-7.2998726085717839E-3</v>
      </c>
      <c r="P15" s="37">
        <f>H14*$B$7/($B$7+B15*C15/10000)</f>
        <v>0.91809473075794135</v>
      </c>
      <c r="Q15" s="40" t="s">
        <v>45</v>
      </c>
      <c r="R15" s="38">
        <f>EXP(-B15*SUM($E$13:E15))</f>
        <v>0.91079485814936956</v>
      </c>
      <c r="S15" s="38">
        <f t="shared" si="4"/>
        <v>3.4635560643022964E-2</v>
      </c>
      <c r="U15" s="63">
        <f t="shared" si="5"/>
        <v>0.2</v>
      </c>
      <c r="V15" s="63">
        <f t="shared" si="1"/>
        <v>2.324306906152367E-2</v>
      </c>
    </row>
    <row r="16" spans="1:26" ht="15" x14ac:dyDescent="0.25">
      <c r="A16" s="29">
        <f>A15+B16</f>
        <v>4</v>
      </c>
      <c r="B16" s="29">
        <f>$B$13</f>
        <v>1</v>
      </c>
      <c r="C16" s="30">
        <v>207.32</v>
      </c>
      <c r="D16" s="5">
        <f>EXP(-$B$5*A16)</f>
        <v>0.9685065820791976</v>
      </c>
      <c r="E16" s="36">
        <f t="shared" si="2"/>
        <v>4.3909113837802133E-2</v>
      </c>
      <c r="F16" s="36">
        <f t="shared" si="3"/>
        <v>3.912689524137658E-2</v>
      </c>
      <c r="G16" s="26">
        <f t="shared" si="0"/>
        <v>0.12833203709200702</v>
      </c>
      <c r="H16" s="26">
        <f t="shared" si="6"/>
        <v>0.87166796290799298</v>
      </c>
      <c r="I16" s="28">
        <f t="shared" si="7"/>
        <v>-6.3536457631087062E-3</v>
      </c>
      <c r="J16" s="28">
        <f>($D$14*($B$7*$H$13-($B$7+$B$14*C16/10000)*$H$14))</f>
        <v>-1.6231654586975452E-3</v>
      </c>
      <c r="K16" s="28">
        <f>($D$15*($B$7*$H$14-($B$7+$B$15*C16/10000)*$H$15))</f>
        <v>2.7423072932551817E-3</v>
      </c>
      <c r="L16" s="28"/>
      <c r="M16" s="28">
        <f>SUM(I16:L16)</f>
        <v>-5.2345039285510691E-3</v>
      </c>
      <c r="N16" s="28">
        <f t="shared" si="8"/>
        <v>0.60118302770718446</v>
      </c>
      <c r="O16" s="28">
        <f t="shared" si="9"/>
        <v>-8.7070054996639321E-3</v>
      </c>
      <c r="P16" s="37">
        <f t="shared" ref="P16:P17" si="10">H15*$B$7/($B$7+B16*C16/10000)</f>
        <v>0.88037496840765694</v>
      </c>
      <c r="Q16" s="39" t="s">
        <v>46</v>
      </c>
      <c r="R16" s="38">
        <f>EXP(-B16*SUM($E$13:E16))</f>
        <v>0.87166796290799298</v>
      </c>
      <c r="S16" s="38">
        <f t="shared" si="4"/>
        <v>3.6836361725023109E-2</v>
      </c>
      <c r="U16" s="63">
        <f t="shared" si="5"/>
        <v>0.30000000000000004</v>
      </c>
      <c r="V16" s="63">
        <f t="shared" si="1"/>
        <v>2.3188855457095411E-2</v>
      </c>
      <c r="Z16" s="18"/>
    </row>
    <row r="17" spans="1:26" ht="15" x14ac:dyDescent="0.25">
      <c r="A17" s="29">
        <f>A16+B17</f>
        <v>5</v>
      </c>
      <c r="B17" s="29">
        <f>$B$13</f>
        <v>1</v>
      </c>
      <c r="C17" s="30">
        <v>218.38</v>
      </c>
      <c r="D17" s="5">
        <f>EXP(-$B$5*A17)</f>
        <v>0.96078943915232318</v>
      </c>
      <c r="E17" s="36">
        <f t="shared" si="2"/>
        <v>4.3781658895486353E-2</v>
      </c>
      <c r="F17" s="36">
        <f t="shared" si="3"/>
        <v>3.7339707933952804E-2</v>
      </c>
      <c r="G17" s="26">
        <f t="shared" si="0"/>
        <v>0.16567174502595983</v>
      </c>
      <c r="H17" s="26">
        <f t="shared" si="6"/>
        <v>0.83432825497404017</v>
      </c>
      <c r="I17" s="28">
        <f t="shared" si="7"/>
        <v>-7.4255085169218334E-3</v>
      </c>
      <c r="J17" s="28">
        <f>($D$14*($B$7*$H$13-($B$7+$B$14*C17/10000)*$H$14))</f>
        <v>-2.6538654339879867E-3</v>
      </c>
      <c r="K17" s="28">
        <f>($D$15*($B$7*$H$14-($B$7+$B$15*C17/10000)*$H$15))</f>
        <v>1.7588565122424137E-3</v>
      </c>
      <c r="L17" s="28">
        <f>($D$16*($B$7*$H$15-($B$7+$B$16*C17/10000)*$H$16))</f>
        <v>4.3008008561838907E-3</v>
      </c>
      <c r="M17" s="28">
        <f>SUM(I17:L17)</f>
        <v>-4.0197165824835167E-3</v>
      </c>
      <c r="N17" s="28">
        <f t="shared" si="8"/>
        <v>0.59745538326360237</v>
      </c>
      <c r="O17" s="28">
        <f t="shared" si="9"/>
        <v>-6.7280615341112158E-3</v>
      </c>
      <c r="P17" s="37">
        <f t="shared" si="10"/>
        <v>0.84105631650815138</v>
      </c>
      <c r="Q17" s="39" t="s">
        <v>47</v>
      </c>
      <c r="R17" s="38">
        <f>EXP(-B17*SUM($E$13:E17))</f>
        <v>0.83432825497404017</v>
      </c>
      <c r="S17" s="38">
        <f t="shared" si="4"/>
        <v>3.51739829481248E-2</v>
      </c>
      <c r="U17" s="63">
        <f t="shared" si="5"/>
        <v>0.4</v>
      </c>
      <c r="V17" s="63">
        <f t="shared" si="1"/>
        <v>2.3134768303907191E-2</v>
      </c>
      <c r="Z17" s="18"/>
    </row>
    <row r="18" spans="1:26" ht="15" x14ac:dyDescent="0.25">
      <c r="U18" s="63">
        <f t="shared" si="5"/>
        <v>0.5</v>
      </c>
      <c r="V18" s="63">
        <f t="shared" si="1"/>
        <v>2.3080807307016133E-2</v>
      </c>
    </row>
    <row r="19" spans="1:26" ht="15" x14ac:dyDescent="0.25">
      <c r="E19" s="32"/>
      <c r="U19" s="63">
        <f t="shared" si="5"/>
        <v>0.6</v>
      </c>
      <c r="V19" s="63">
        <f t="shared" si="1"/>
        <v>2.3026972172167318E-2</v>
      </c>
    </row>
    <row r="20" spans="1:26" ht="15" x14ac:dyDescent="0.25">
      <c r="E20" s="32"/>
      <c r="U20" s="63">
        <f t="shared" si="5"/>
        <v>0.7</v>
      </c>
      <c r="V20" s="63">
        <f t="shared" si="1"/>
        <v>2.2973262605792154E-2</v>
      </c>
    </row>
    <row r="21" spans="1:26" ht="15" x14ac:dyDescent="0.25">
      <c r="E21" s="33"/>
      <c r="U21" s="63">
        <f t="shared" si="5"/>
        <v>0.79999999999999993</v>
      </c>
      <c r="V21" s="63">
        <f t="shared" si="1"/>
        <v>2.2919678315006794E-2</v>
      </c>
    </row>
    <row r="22" spans="1:26" ht="15" x14ac:dyDescent="0.25">
      <c r="E22" s="33"/>
      <c r="U22" s="63">
        <f t="shared" si="5"/>
        <v>0.89999999999999991</v>
      </c>
      <c r="V22" s="63">
        <f t="shared" si="1"/>
        <v>2.2866219007610523E-2</v>
      </c>
    </row>
    <row r="23" spans="1:26" ht="15" x14ac:dyDescent="0.25">
      <c r="E23" s="33"/>
      <c r="U23" s="63">
        <f t="shared" si="5"/>
        <v>0.99999999999999989</v>
      </c>
      <c r="V23" s="63">
        <f t="shared" si="1"/>
        <v>2.281288439208418E-2</v>
      </c>
    </row>
    <row r="24" spans="1:26" ht="15" x14ac:dyDescent="0.25">
      <c r="E24" s="33"/>
      <c r="U24" s="63">
        <f t="shared" si="5"/>
        <v>1.0999999999999999</v>
      </c>
      <c r="V24" s="63">
        <f t="shared" ref="V24:V33" si="11">$E$14*EXP(-$E$14*U24)</f>
        <v>3.0109932640633542E-2</v>
      </c>
    </row>
    <row r="25" spans="1:26" ht="15" x14ac:dyDescent="0.25">
      <c r="E25" s="33"/>
      <c r="U25" s="63">
        <f t="shared" si="5"/>
        <v>1.2</v>
      </c>
      <c r="V25" s="63">
        <f t="shared" si="11"/>
        <v>3.0016256512947162E-2</v>
      </c>
    </row>
    <row r="26" spans="1:26" ht="15" x14ac:dyDescent="0.25">
      <c r="E26" s="33"/>
      <c r="U26" s="63">
        <f t="shared" si="5"/>
        <v>1.3</v>
      </c>
      <c r="V26" s="63">
        <f t="shared" si="11"/>
        <v>2.9922871824534431E-2</v>
      </c>
    </row>
    <row r="27" spans="1:26" ht="15" x14ac:dyDescent="0.25">
      <c r="E27" s="33"/>
      <c r="U27" s="63">
        <f t="shared" si="5"/>
        <v>1.4000000000000001</v>
      </c>
      <c r="V27" s="63">
        <f t="shared" si="11"/>
        <v>2.9829777668687812E-2</v>
      </c>
    </row>
    <row r="28" spans="1:26" ht="15" x14ac:dyDescent="0.25">
      <c r="E28" s="33"/>
      <c r="U28" s="63">
        <f t="shared" si="5"/>
        <v>1.5000000000000002</v>
      </c>
      <c r="V28" s="63">
        <f t="shared" si="11"/>
        <v>2.9736973141520674E-2</v>
      </c>
    </row>
    <row r="29" spans="1:26" ht="15" x14ac:dyDescent="0.25">
      <c r="E29" s="33"/>
      <c r="U29" s="63">
        <f t="shared" si="5"/>
        <v>1.6000000000000003</v>
      </c>
      <c r="V29" s="63">
        <f t="shared" si="11"/>
        <v>2.9644457341958495E-2</v>
      </c>
    </row>
    <row r="30" spans="1:26" ht="15" x14ac:dyDescent="0.25">
      <c r="E30" s="33"/>
      <c r="U30" s="63">
        <f t="shared" si="5"/>
        <v>1.7000000000000004</v>
      </c>
      <c r="V30" s="63">
        <f t="shared" si="11"/>
        <v>2.9552229371730118E-2</v>
      </c>
    </row>
    <row r="31" spans="1:26" ht="15" x14ac:dyDescent="0.25">
      <c r="U31" s="63">
        <f t="shared" si="5"/>
        <v>1.8000000000000005</v>
      </c>
      <c r="V31" s="63">
        <f t="shared" si="11"/>
        <v>2.9460288335359037E-2</v>
      </c>
    </row>
    <row r="32" spans="1:26" ht="15" x14ac:dyDescent="0.25">
      <c r="U32" s="63">
        <f t="shared" si="5"/>
        <v>1.9000000000000006</v>
      </c>
      <c r="V32" s="63">
        <f t="shared" si="11"/>
        <v>2.9368633340154684E-2</v>
      </c>
    </row>
    <row r="33" spans="21:22" ht="15" x14ac:dyDescent="0.25">
      <c r="U33" s="63">
        <f t="shared" si="5"/>
        <v>2.0000000000000004</v>
      </c>
      <c r="V33" s="63">
        <f t="shared" si="11"/>
        <v>2.9277263496203784E-2</v>
      </c>
    </row>
    <row r="34" spans="21:22" ht="15" x14ac:dyDescent="0.25">
      <c r="U34" s="63">
        <f t="shared" si="5"/>
        <v>2.1000000000000005</v>
      </c>
      <c r="V34" s="63">
        <f t="shared" ref="V34:V43" si="12">$E$15*EXP(-$E$15*U34)</f>
        <v>3.5870462316216559E-2</v>
      </c>
    </row>
    <row r="35" spans="21:22" ht="15" x14ac:dyDescent="0.25">
      <c r="U35" s="63">
        <f t="shared" si="5"/>
        <v>2.2000000000000006</v>
      </c>
      <c r="V35" s="63">
        <f t="shared" si="12"/>
        <v>3.5731104912436938E-2</v>
      </c>
    </row>
    <row r="36" spans="21:22" ht="15" x14ac:dyDescent="0.25">
      <c r="U36" s="63">
        <f t="shared" si="5"/>
        <v>2.3000000000000007</v>
      </c>
      <c r="V36" s="63">
        <f t="shared" si="12"/>
        <v>3.5592288914726107E-2</v>
      </c>
    </row>
    <row r="37" spans="21:22" ht="15" x14ac:dyDescent="0.25">
      <c r="U37" s="63">
        <f t="shared" si="5"/>
        <v>2.4000000000000008</v>
      </c>
      <c r="V37" s="63">
        <f t="shared" si="12"/>
        <v>3.5454012219711555E-2</v>
      </c>
    </row>
    <row r="38" spans="21:22" ht="15" x14ac:dyDescent="0.25">
      <c r="U38" s="63">
        <f t="shared" si="5"/>
        <v>2.5000000000000009</v>
      </c>
      <c r="V38" s="63">
        <f t="shared" si="12"/>
        <v>3.5316272732192434E-2</v>
      </c>
    </row>
    <row r="39" spans="21:22" ht="15" x14ac:dyDescent="0.25">
      <c r="U39" s="63">
        <f t="shared" si="5"/>
        <v>2.600000000000001</v>
      </c>
      <c r="V39" s="63">
        <f t="shared" si="12"/>
        <v>3.5179068365107757E-2</v>
      </c>
    </row>
    <row r="40" spans="21:22" ht="15" x14ac:dyDescent="0.25">
      <c r="U40" s="63">
        <f t="shared" si="5"/>
        <v>2.7000000000000011</v>
      </c>
      <c r="V40" s="63">
        <f t="shared" si="12"/>
        <v>3.5042397039504826E-2</v>
      </c>
    </row>
    <row r="41" spans="21:22" ht="15" x14ac:dyDescent="0.25">
      <c r="U41" s="63">
        <f t="shared" si="5"/>
        <v>2.8000000000000012</v>
      </c>
      <c r="V41" s="63">
        <f t="shared" si="12"/>
        <v>3.4906256684507725E-2</v>
      </c>
    </row>
    <row r="42" spans="21:22" ht="15" x14ac:dyDescent="0.25">
      <c r="U42" s="63">
        <f t="shared" si="5"/>
        <v>2.9000000000000012</v>
      </c>
      <c r="V42" s="63">
        <f t="shared" si="12"/>
        <v>3.4770645237285902E-2</v>
      </c>
    </row>
    <row r="43" spans="21:22" ht="15" x14ac:dyDescent="0.25">
      <c r="U43" s="63">
        <f t="shared" si="5"/>
        <v>3.0000000000000013</v>
      </c>
      <c r="V43" s="63">
        <f t="shared" si="12"/>
        <v>3.4635560643022957E-2</v>
      </c>
    </row>
    <row r="44" spans="21:22" ht="15" x14ac:dyDescent="0.25">
      <c r="U44" s="63">
        <f t="shared" si="5"/>
        <v>3.1000000000000014</v>
      </c>
      <c r="V44" s="63">
        <f t="shared" ref="V44:V53" si="13">$E$16*EXP(-$E$16*U44)</f>
        <v>3.8321214649830349E-2</v>
      </c>
    </row>
    <row r="45" spans="21:22" ht="15" x14ac:dyDescent="0.25">
      <c r="U45" s="63">
        <f t="shared" si="5"/>
        <v>3.2000000000000015</v>
      </c>
      <c r="V45" s="63">
        <f t="shared" si="13"/>
        <v>3.8153318470561096E-2</v>
      </c>
    </row>
    <row r="46" spans="21:22" ht="15" x14ac:dyDescent="0.25">
      <c r="U46" s="63">
        <f t="shared" ref="U46:U63" si="14">U45+0.1</f>
        <v>3.3000000000000016</v>
      </c>
      <c r="V46" s="63">
        <f t="shared" si="13"/>
        <v>3.7986157892375229E-2</v>
      </c>
    </row>
    <row r="47" spans="21:22" ht="15" x14ac:dyDescent="0.25">
      <c r="U47" s="63">
        <f t="shared" si="14"/>
        <v>3.4000000000000017</v>
      </c>
      <c r="V47" s="63">
        <f t="shared" si="13"/>
        <v>3.7819729692394444E-2</v>
      </c>
    </row>
    <row r="48" spans="21:22" ht="15" x14ac:dyDescent="0.25">
      <c r="U48" s="63">
        <f t="shared" si="14"/>
        <v>3.5000000000000018</v>
      </c>
      <c r="V48" s="63">
        <f t="shared" si="13"/>
        <v>3.7654030661860786E-2</v>
      </c>
    </row>
    <row r="49" spans="21:22" ht="15" x14ac:dyDescent="0.25">
      <c r="U49" s="63">
        <f t="shared" si="14"/>
        <v>3.6000000000000019</v>
      </c>
      <c r="V49" s="63">
        <f t="shared" si="13"/>
        <v>3.7489057606074787E-2</v>
      </c>
    </row>
    <row r="50" spans="21:22" ht="15" x14ac:dyDescent="0.25">
      <c r="U50" s="63">
        <f t="shared" si="14"/>
        <v>3.700000000000002</v>
      </c>
      <c r="V50" s="63">
        <f t="shared" si="13"/>
        <v>3.7324807344333855E-2</v>
      </c>
    </row>
    <row r="51" spans="21:22" ht="15" x14ac:dyDescent="0.25">
      <c r="U51" s="63">
        <f t="shared" si="14"/>
        <v>3.800000000000002</v>
      </c>
      <c r="V51" s="63">
        <f t="shared" si="13"/>
        <v>3.7161276709870981E-2</v>
      </c>
    </row>
    <row r="52" spans="21:22" ht="15" x14ac:dyDescent="0.25">
      <c r="U52" s="63">
        <f t="shared" si="14"/>
        <v>3.9000000000000021</v>
      </c>
      <c r="V52" s="63">
        <f t="shared" si="13"/>
        <v>3.6998462549793658E-2</v>
      </c>
    </row>
    <row r="53" spans="21:22" ht="15" x14ac:dyDescent="0.25">
      <c r="U53" s="63">
        <f t="shared" si="14"/>
        <v>4.0000000000000018</v>
      </c>
      <c r="V53" s="63">
        <f t="shared" si="13"/>
        <v>3.6836361725023109E-2</v>
      </c>
    </row>
    <row r="54" spans="21:22" ht="15" x14ac:dyDescent="0.25">
      <c r="U54" s="63">
        <f t="shared" si="14"/>
        <v>4.1000000000000014</v>
      </c>
      <c r="V54" s="63">
        <f t="shared" ref="V54:V63" si="15">$E$17*EXP(-$E$17*U54)</f>
        <v>3.6587629136381181E-2</v>
      </c>
    </row>
    <row r="55" spans="21:22" ht="15" x14ac:dyDescent="0.25">
      <c r="U55" s="63">
        <f t="shared" si="14"/>
        <v>4.2000000000000011</v>
      </c>
      <c r="V55" s="63">
        <f t="shared" si="15"/>
        <v>3.6427792577318881E-2</v>
      </c>
    </row>
    <row r="56" spans="21:22" ht="15" x14ac:dyDescent="0.25">
      <c r="U56" s="63">
        <f t="shared" si="14"/>
        <v>4.3000000000000007</v>
      </c>
      <c r="V56" s="63">
        <f t="shared" si="15"/>
        <v>3.6268654279560088E-2</v>
      </c>
    </row>
    <row r="57" spans="21:22" ht="15" x14ac:dyDescent="0.25">
      <c r="U57" s="63">
        <f t="shared" si="14"/>
        <v>4.4000000000000004</v>
      </c>
      <c r="V57" s="63">
        <f t="shared" si="15"/>
        <v>3.611021119268347E-2</v>
      </c>
    </row>
    <row r="58" spans="21:22" ht="15" x14ac:dyDescent="0.25">
      <c r="U58" s="63">
        <f t="shared" si="14"/>
        <v>4.5</v>
      </c>
      <c r="V58" s="63">
        <f t="shared" si="15"/>
        <v>3.595246027959377E-2</v>
      </c>
    </row>
    <row r="59" spans="21:22" ht="15" x14ac:dyDescent="0.25">
      <c r="U59" s="63">
        <f t="shared" si="14"/>
        <v>4.5999999999999996</v>
      </c>
      <c r="V59" s="63">
        <f t="shared" si="15"/>
        <v>3.5795398516463559E-2</v>
      </c>
    </row>
    <row r="60" spans="21:22" ht="15" x14ac:dyDescent="0.25">
      <c r="U60" s="63">
        <f t="shared" si="14"/>
        <v>4.6999999999999993</v>
      </c>
      <c r="V60" s="63">
        <f t="shared" si="15"/>
        <v>3.5639022892675294E-2</v>
      </c>
    </row>
    <row r="61" spans="21:22" ht="15" x14ac:dyDescent="0.25">
      <c r="U61" s="63">
        <f t="shared" si="14"/>
        <v>4.7999999999999989</v>
      </c>
      <c r="V61" s="63">
        <f t="shared" si="15"/>
        <v>3.5483330410763604E-2</v>
      </c>
    </row>
    <row r="62" spans="21:22" ht="15" x14ac:dyDescent="0.25">
      <c r="U62" s="63">
        <f t="shared" si="14"/>
        <v>4.8999999999999986</v>
      </c>
      <c r="V62" s="63">
        <f t="shared" si="15"/>
        <v>3.5328318086357821E-2</v>
      </c>
    </row>
    <row r="63" spans="21:22" ht="15" x14ac:dyDescent="0.25">
      <c r="U63" s="63">
        <f t="shared" si="14"/>
        <v>4.9999999999999982</v>
      </c>
      <c r="V63" s="63">
        <f t="shared" si="15"/>
        <v>3.51739829481248E-2</v>
      </c>
    </row>
    <row r="65" spans="21:21" x14ac:dyDescent="0.2">
      <c r="U65" s="31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 &amp; 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Sandoval, Tanya SIPC-ITD/ECM</dc:creator>
  <cp:lastModifiedBy>Sandoval, Tanya SIPC-ITD/ECM</cp:lastModifiedBy>
  <dcterms:created xsi:type="dcterms:W3CDTF">2016-07-25T17:08:56Z</dcterms:created>
  <dcterms:modified xsi:type="dcterms:W3CDTF">2016-07-27T20:45:11Z</dcterms:modified>
</cp:coreProperties>
</file>